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DocTrab\PEA\"/>
    </mc:Choice>
  </mc:AlternateContent>
  <bookViews>
    <workbookView xWindow="480" yWindow="108" windowWidth="18192" windowHeight="10548" tabRatio="987" activeTab="9"/>
  </bookViews>
  <sheets>
    <sheet name="Indice" sheetId="14" r:id="rId1"/>
    <sheet name="Dados" sheetId="2" r:id="rId2"/>
    <sheet name="Cto_Eq" sheetId="4" r:id="rId3"/>
    <sheet name="EquipPot" sheetId="15" r:id="rId4"/>
    <sheet name="Cto_Trat" sheetId="5" r:id="rId5"/>
    <sheet name="MOEqTr" sheetId="1" r:id="rId6"/>
    <sheet name="Cto_OpCt" sheetId="6" r:id="rId7"/>
    <sheet name="Cal_Cult" sheetId="9" r:id="rId8"/>
    <sheet name="Cto_Outros" sheetId="10" r:id="rId9"/>
    <sheet name="Cto_Fin_RE" sheetId="11" r:id="rId10"/>
    <sheet name="IHERA_Trat" sheetId="3" r:id="rId11"/>
    <sheet name="IHERA_Equip" sheetId="7" r:id="rId12"/>
    <sheet name="Vel_Ec" sheetId="8" r:id="rId13"/>
    <sheet name="Potencias" sheetId="12" r:id="rId14"/>
    <sheet name="Reparacoes" sheetId="13" r:id="rId15"/>
  </sheets>
  <externalReferences>
    <externalReference r:id="rId16"/>
    <externalReference r:id="rId17"/>
  </externalReferences>
  <calcPr calcId="162913"/>
</workbook>
</file>

<file path=xl/calcChain.xml><?xml version="1.0" encoding="utf-8"?>
<calcChain xmlns="http://schemas.openxmlformats.org/spreadsheetml/2006/main">
  <c r="H26" i="2" l="1"/>
  <c r="G26" i="2"/>
  <c r="E4" i="5"/>
  <c r="C14" i="15"/>
  <c r="B11" i="15"/>
  <c r="B12" i="15"/>
  <c r="A12" i="15"/>
  <c r="A11" i="15"/>
  <c r="B10" i="15"/>
  <c r="B9" i="15"/>
  <c r="K189" i="12"/>
  <c r="K188" i="12"/>
  <c r="B8" i="15"/>
  <c r="B7" i="15"/>
  <c r="B6" i="15"/>
  <c r="B4" i="15"/>
  <c r="B3" i="15"/>
  <c r="A10" i="15"/>
  <c r="A9" i="15"/>
  <c r="A8" i="15"/>
  <c r="A7" i="15"/>
  <c r="A6" i="15"/>
  <c r="A5" i="15"/>
  <c r="A4" i="15"/>
  <c r="A3" i="15"/>
  <c r="K185" i="12"/>
  <c r="K184" i="12"/>
  <c r="K183" i="12"/>
  <c r="K182" i="12"/>
  <c r="K181" i="12"/>
  <c r="K180" i="12"/>
  <c r="K179" i="12"/>
  <c r="K178" i="12"/>
  <c r="K177" i="12"/>
  <c r="K175" i="12"/>
  <c r="K174" i="12"/>
  <c r="K173" i="12"/>
  <c r="K170" i="12"/>
  <c r="K169" i="12"/>
  <c r="K168" i="12"/>
  <c r="K165" i="12"/>
  <c r="K162" i="12"/>
  <c r="K161" i="12"/>
  <c r="K158" i="12"/>
  <c r="K156" i="12"/>
  <c r="D156" i="12"/>
  <c r="K155" i="12"/>
  <c r="D155" i="12"/>
  <c r="K154" i="12"/>
  <c r="D154" i="12"/>
  <c r="K152" i="12"/>
  <c r="K151" i="12"/>
  <c r="K149" i="12"/>
  <c r="K148" i="12"/>
  <c r="K145" i="12"/>
  <c r="K143" i="12"/>
  <c r="K142" i="12"/>
  <c r="K140" i="12"/>
  <c r="K139" i="12"/>
  <c r="K138" i="12"/>
  <c r="K135" i="12"/>
  <c r="K133" i="12"/>
  <c r="K132" i="12"/>
  <c r="K129" i="12"/>
  <c r="K128" i="12"/>
  <c r="K126" i="12"/>
  <c r="K125" i="12"/>
  <c r="K124" i="12"/>
  <c r="K122" i="12"/>
  <c r="K121" i="12"/>
  <c r="K120" i="12"/>
  <c r="K118" i="12"/>
  <c r="K117" i="12"/>
  <c r="K114" i="12"/>
  <c r="K113" i="12"/>
  <c r="K112" i="12"/>
  <c r="K110" i="12"/>
  <c r="K109" i="12"/>
  <c r="K108" i="12"/>
  <c r="K105" i="12"/>
  <c r="D105" i="12"/>
  <c r="K104" i="12"/>
  <c r="D104" i="12"/>
  <c r="K103" i="12"/>
  <c r="D103" i="12"/>
  <c r="K100" i="12"/>
  <c r="K99" i="12"/>
  <c r="K96" i="12"/>
  <c r="D96" i="12"/>
  <c r="K95" i="12"/>
  <c r="D95" i="12"/>
  <c r="K94" i="12"/>
  <c r="D94" i="12"/>
  <c r="K92" i="12"/>
  <c r="K91" i="12"/>
  <c r="K90" i="12"/>
  <c r="K89" i="12"/>
  <c r="K88" i="12"/>
  <c r="K85" i="12"/>
  <c r="D85" i="12"/>
  <c r="K84" i="12"/>
  <c r="D84" i="12"/>
  <c r="K83" i="12"/>
  <c r="D83" i="12"/>
  <c r="K81" i="12"/>
  <c r="K80" i="12"/>
  <c r="K79" i="12"/>
  <c r="K78" i="12"/>
  <c r="K76" i="12"/>
  <c r="K75" i="12"/>
  <c r="K74" i="12"/>
  <c r="K73" i="12"/>
  <c r="K71" i="12"/>
  <c r="K70" i="12"/>
  <c r="K69" i="12"/>
  <c r="D66" i="12"/>
  <c r="H66" i="12"/>
  <c r="K66" i="12"/>
  <c r="J66" i="12"/>
  <c r="D65" i="12"/>
  <c r="H65" i="12"/>
  <c r="K65" i="12"/>
  <c r="J65" i="12"/>
  <c r="D64" i="12"/>
  <c r="H64" i="12"/>
  <c r="K64" i="12"/>
  <c r="J64" i="12"/>
  <c r="D63" i="12"/>
  <c r="H63" i="12"/>
  <c r="K63" i="12"/>
  <c r="J63" i="12"/>
  <c r="D62" i="12"/>
  <c r="H62" i="12"/>
  <c r="K62" i="12"/>
  <c r="J62" i="12"/>
  <c r="H59" i="12"/>
  <c r="K59" i="12"/>
  <c r="J59" i="12"/>
  <c r="H58" i="12"/>
  <c r="K58" i="12"/>
  <c r="J58" i="12"/>
  <c r="H57" i="12"/>
  <c r="K57" i="12"/>
  <c r="J57" i="12"/>
  <c r="K56" i="12"/>
  <c r="J56" i="12"/>
  <c r="H56" i="12"/>
  <c r="H55" i="12"/>
  <c r="K55" i="12"/>
  <c r="J55" i="12"/>
  <c r="H54" i="12"/>
  <c r="K54" i="12"/>
  <c r="J54" i="12"/>
  <c r="K51" i="12"/>
  <c r="J51" i="12"/>
  <c r="H51" i="12"/>
  <c r="H50" i="12"/>
  <c r="K50" i="12"/>
  <c r="J50" i="12"/>
  <c r="H49" i="12"/>
  <c r="K49" i="12"/>
  <c r="J49" i="12"/>
  <c r="H47" i="12"/>
  <c r="K47" i="12"/>
  <c r="J47" i="12"/>
  <c r="H46" i="12"/>
  <c r="K46" i="12"/>
  <c r="J46" i="12"/>
  <c r="H45" i="12"/>
  <c r="K45" i="12"/>
  <c r="J45" i="12"/>
  <c r="H44" i="12"/>
  <c r="K44" i="12"/>
  <c r="J44" i="12"/>
  <c r="H42" i="12"/>
  <c r="K42" i="12"/>
  <c r="J42" i="12"/>
  <c r="H41" i="12"/>
  <c r="K41" i="12"/>
  <c r="J41" i="12"/>
  <c r="H40" i="12"/>
  <c r="K40" i="12"/>
  <c r="J40" i="12"/>
  <c r="H38" i="12"/>
  <c r="K38" i="12"/>
  <c r="J38" i="12"/>
  <c r="H37" i="12"/>
  <c r="K37" i="12"/>
  <c r="J37" i="12"/>
  <c r="K35" i="12"/>
  <c r="J35" i="12"/>
  <c r="H35" i="12"/>
  <c r="K34" i="12"/>
  <c r="J34" i="12"/>
  <c r="H34" i="12"/>
  <c r="H33" i="12"/>
  <c r="K33" i="12"/>
  <c r="J33" i="12"/>
  <c r="H32" i="12"/>
  <c r="K32" i="12"/>
  <c r="J32" i="12"/>
  <c r="K31" i="12"/>
  <c r="J31" i="12"/>
  <c r="H31" i="12"/>
  <c r="K29" i="12"/>
  <c r="K28" i="12"/>
  <c r="K27" i="12"/>
  <c r="K26" i="12"/>
  <c r="D24" i="12"/>
  <c r="H24" i="12"/>
  <c r="K24" i="12"/>
  <c r="J24" i="12"/>
  <c r="D23" i="12"/>
  <c r="H23" i="12"/>
  <c r="K23" i="12"/>
  <c r="J23" i="12"/>
  <c r="D22" i="12"/>
  <c r="H22" i="12"/>
  <c r="K22" i="12"/>
  <c r="J22" i="12"/>
  <c r="D21" i="12"/>
  <c r="H21" i="12"/>
  <c r="K21" i="12"/>
  <c r="J21" i="12"/>
  <c r="D19" i="12"/>
  <c r="H19" i="12"/>
  <c r="K19" i="12"/>
  <c r="J19" i="12"/>
  <c r="D18" i="12"/>
  <c r="H18" i="12"/>
  <c r="K18" i="12"/>
  <c r="J18" i="12"/>
  <c r="B5" i="15"/>
  <c r="D17" i="12"/>
  <c r="H17" i="12"/>
  <c r="K17" i="12"/>
  <c r="J17" i="12"/>
  <c r="D15" i="12"/>
  <c r="H15" i="12"/>
  <c r="K15" i="12"/>
  <c r="J15" i="12"/>
  <c r="D14" i="12"/>
  <c r="H14" i="12"/>
  <c r="K14" i="12"/>
  <c r="J14" i="12"/>
  <c r="D13" i="12"/>
  <c r="H13" i="12"/>
  <c r="K13" i="12"/>
  <c r="J13" i="12"/>
  <c r="C11" i="12"/>
  <c r="D11" i="12"/>
  <c r="H11" i="12"/>
  <c r="K11" i="12"/>
  <c r="J11" i="12"/>
  <c r="C10" i="12"/>
  <c r="D10" i="12"/>
  <c r="H10" i="12"/>
  <c r="K10" i="12"/>
  <c r="J10" i="12"/>
  <c r="C8" i="12"/>
  <c r="D8" i="12"/>
  <c r="H8" i="12"/>
  <c r="K8" i="12"/>
  <c r="J8" i="12"/>
  <c r="C7" i="12"/>
  <c r="D7" i="12"/>
  <c r="H7" i="12"/>
  <c r="K7" i="12"/>
  <c r="J7" i="12"/>
  <c r="C6" i="12"/>
  <c r="D6" i="12"/>
  <c r="H6" i="12"/>
  <c r="K6" i="12"/>
  <c r="J6" i="12"/>
  <c r="D5" i="12"/>
  <c r="H5" i="12"/>
  <c r="K5" i="12"/>
  <c r="J5" i="12"/>
  <c r="C5" i="12"/>
  <c r="A4" i="4"/>
  <c r="C4" i="4"/>
  <c r="D4" i="4"/>
  <c r="E4" i="4"/>
  <c r="G4" i="4"/>
  <c r="H4" i="4"/>
  <c r="J4" i="4"/>
  <c r="G4" i="1"/>
  <c r="F4" i="4"/>
  <c r="B3" i="9"/>
  <c r="Z31" i="9"/>
  <c r="G10" i="11"/>
  <c r="G4" i="11"/>
  <c r="B20" i="11"/>
  <c r="D20" i="11"/>
  <c r="A5" i="11"/>
  <c r="A4" i="11"/>
  <c r="G4" i="10"/>
  <c r="G14" i="10"/>
  <c r="F4" i="10"/>
  <c r="F14" i="10"/>
  <c r="J75" i="2"/>
  <c r="J73" i="2"/>
  <c r="J72" i="2"/>
  <c r="J71" i="2"/>
  <c r="J69" i="2"/>
  <c r="J68" i="2"/>
  <c r="J66" i="2"/>
  <c r="C5" i="4"/>
  <c r="E5" i="4"/>
  <c r="C6" i="4"/>
  <c r="C7" i="4"/>
  <c r="C8" i="4"/>
  <c r="C9" i="4"/>
  <c r="C10" i="4"/>
  <c r="C11" i="4"/>
  <c r="L55" i="2"/>
  <c r="N55" i="2"/>
  <c r="L54" i="2"/>
  <c r="C55" i="2"/>
  <c r="C54" i="2"/>
  <c r="H55" i="2"/>
  <c r="J55" i="2"/>
  <c r="K55" i="2"/>
  <c r="H54" i="2"/>
  <c r="J54" i="2"/>
  <c r="K54" i="2"/>
  <c r="G4" i="2"/>
  <c r="J79" i="2"/>
  <c r="B3" i="10"/>
  <c r="J45" i="5"/>
  <c r="A75" i="5"/>
  <c r="J46" i="5"/>
  <c r="A76" i="5"/>
  <c r="J39" i="5"/>
  <c r="A56" i="5"/>
  <c r="J38" i="5"/>
  <c r="A55" i="5"/>
  <c r="C46" i="5"/>
  <c r="C45" i="5"/>
  <c r="G39" i="5"/>
  <c r="G38" i="5"/>
  <c r="E39" i="5"/>
  <c r="E38" i="5"/>
  <c r="C39" i="5"/>
  <c r="C38" i="5"/>
  <c r="J29" i="5"/>
  <c r="J28" i="5"/>
  <c r="I29" i="5"/>
  <c r="K29" i="5"/>
  <c r="I28" i="5"/>
  <c r="K28" i="5"/>
  <c r="G29" i="5"/>
  <c r="G28" i="5"/>
  <c r="F29" i="5"/>
  <c r="F28" i="5"/>
  <c r="H28" i="5"/>
  <c r="D29" i="5"/>
  <c r="D28" i="5"/>
  <c r="C29" i="5"/>
  <c r="E29" i="5"/>
  <c r="C28" i="5"/>
  <c r="J22" i="5"/>
  <c r="K22" i="5"/>
  <c r="H39" i="5"/>
  <c r="J21" i="5"/>
  <c r="I22" i="5"/>
  <c r="I21" i="5"/>
  <c r="K21" i="5"/>
  <c r="G22" i="5"/>
  <c r="H22" i="5"/>
  <c r="G21" i="5"/>
  <c r="F22" i="5"/>
  <c r="F21" i="5"/>
  <c r="D22" i="5"/>
  <c r="D21" i="5"/>
  <c r="C22" i="5"/>
  <c r="C21" i="5"/>
  <c r="G12" i="5"/>
  <c r="G11" i="5"/>
  <c r="B12" i="5"/>
  <c r="B11" i="5"/>
  <c r="B5" i="5"/>
  <c r="B4" i="5"/>
  <c r="G5" i="5"/>
  <c r="G4" i="5"/>
  <c r="I80" i="2"/>
  <c r="D26" i="10"/>
  <c r="B31" i="11"/>
  <c r="I79" i="2"/>
  <c r="B36" i="9"/>
  <c r="N63" i="9"/>
  <c r="B13" i="10"/>
  <c r="Q31" i="1"/>
  <c r="P31" i="1"/>
  <c r="A13" i="4"/>
  <c r="A28" i="4"/>
  <c r="A42" i="4"/>
  <c r="A55" i="4"/>
  <c r="A12" i="4"/>
  <c r="A27" i="4"/>
  <c r="A41" i="4"/>
  <c r="A54" i="4"/>
  <c r="A11" i="4"/>
  <c r="A26" i="4"/>
  <c r="A40" i="4"/>
  <c r="A53" i="4"/>
  <c r="A10" i="4"/>
  <c r="A25" i="4"/>
  <c r="A39" i="4"/>
  <c r="A52" i="4"/>
  <c r="A9" i="4"/>
  <c r="A24" i="4"/>
  <c r="A38" i="4"/>
  <c r="A51" i="4"/>
  <c r="A8" i="4"/>
  <c r="A23" i="4"/>
  <c r="A37" i="4"/>
  <c r="A50" i="4"/>
  <c r="A7" i="4"/>
  <c r="A22" i="4"/>
  <c r="A36" i="4"/>
  <c r="A49" i="4"/>
  <c r="A6" i="4"/>
  <c r="A21" i="4"/>
  <c r="A35" i="4"/>
  <c r="A48" i="4"/>
  <c r="A5" i="4"/>
  <c r="A20" i="4"/>
  <c r="A34" i="4"/>
  <c r="A47" i="4"/>
  <c r="A19" i="4"/>
  <c r="A33" i="4"/>
  <c r="A46" i="4"/>
  <c r="A61" i="4"/>
  <c r="A60" i="4"/>
  <c r="B11" i="1"/>
  <c r="B10" i="1"/>
  <c r="B25" i="1"/>
  <c r="B24" i="1"/>
  <c r="C12" i="1"/>
  <c r="C26" i="1"/>
  <c r="A28" i="1"/>
  <c r="A21" i="1"/>
  <c r="A14" i="1"/>
  <c r="A7" i="1"/>
  <c r="H58" i="2"/>
  <c r="C58" i="2"/>
  <c r="H61" i="2"/>
  <c r="C61" i="2"/>
  <c r="B10" i="2"/>
  <c r="C62" i="2"/>
  <c r="G10" i="2"/>
  <c r="H62" i="2"/>
  <c r="AK97" i="9"/>
  <c r="AJ97" i="9"/>
  <c r="AI97" i="9"/>
  <c r="AH97" i="9"/>
  <c r="AG97" i="9"/>
  <c r="AF97" i="9"/>
  <c r="AE97" i="9"/>
  <c r="AD97" i="9"/>
  <c r="AC97" i="9"/>
  <c r="AB97" i="9"/>
  <c r="Y97" i="9"/>
  <c r="X97" i="9"/>
  <c r="W97" i="9"/>
  <c r="V97" i="9"/>
  <c r="U97" i="9"/>
  <c r="T97" i="9"/>
  <c r="S97" i="9"/>
  <c r="R97" i="9"/>
  <c r="Q97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C97" i="9"/>
  <c r="B97" i="9"/>
  <c r="AK96" i="9"/>
  <c r="AJ96" i="9"/>
  <c r="AI96" i="9"/>
  <c r="AH96" i="9"/>
  <c r="AG96" i="9"/>
  <c r="AF96" i="9"/>
  <c r="AE96" i="9"/>
  <c r="AD96" i="9"/>
  <c r="AC96" i="9"/>
  <c r="AC99" i="9"/>
  <c r="AB96" i="9"/>
  <c r="AA96" i="9"/>
  <c r="Z96" i="9"/>
  <c r="Y96" i="9"/>
  <c r="X96" i="9"/>
  <c r="W96" i="9"/>
  <c r="V96" i="9"/>
  <c r="V99" i="9"/>
  <c r="U96" i="9"/>
  <c r="R96" i="9"/>
  <c r="Q96" i="9"/>
  <c r="P96" i="9"/>
  <c r="M96" i="9"/>
  <c r="M99" i="9"/>
  <c r="L96" i="9"/>
  <c r="K96" i="9"/>
  <c r="J96" i="9"/>
  <c r="I96" i="9"/>
  <c r="H96" i="9"/>
  <c r="G96" i="9"/>
  <c r="F96" i="9"/>
  <c r="E96" i="9"/>
  <c r="D96" i="9"/>
  <c r="C96" i="9"/>
  <c r="B96" i="9"/>
  <c r="A80" i="9"/>
  <c r="A85" i="9"/>
  <c r="A98" i="9"/>
  <c r="A97" i="9"/>
  <c r="A96" i="9"/>
  <c r="A95" i="9"/>
  <c r="A91" i="9"/>
  <c r="A90" i="9"/>
  <c r="A89" i="9"/>
  <c r="A79" i="9"/>
  <c r="A78" i="9"/>
  <c r="A77" i="9"/>
  <c r="A76" i="9"/>
  <c r="A75" i="9"/>
  <c r="A74" i="9"/>
  <c r="A73" i="9"/>
  <c r="A72" i="9"/>
  <c r="A71" i="9"/>
  <c r="A70" i="9"/>
  <c r="A64" i="9"/>
  <c r="A63" i="9"/>
  <c r="A62" i="9"/>
  <c r="A57" i="9"/>
  <c r="A56" i="9"/>
  <c r="A23" i="9"/>
  <c r="A24" i="9"/>
  <c r="A30" i="9"/>
  <c r="A31" i="9"/>
  <c r="A29" i="9"/>
  <c r="A18" i="9"/>
  <c r="A17" i="9"/>
  <c r="A13" i="9"/>
  <c r="A12" i="9"/>
  <c r="A11" i="9"/>
  <c r="A10" i="9"/>
  <c r="A9" i="9"/>
  <c r="A8" i="9"/>
  <c r="A7" i="9"/>
  <c r="A6" i="9"/>
  <c r="A5" i="9"/>
  <c r="A4" i="9"/>
  <c r="A13" i="6"/>
  <c r="A12" i="6"/>
  <c r="A11" i="6"/>
  <c r="A10" i="6"/>
  <c r="A9" i="6"/>
  <c r="A8" i="6"/>
  <c r="A7" i="6"/>
  <c r="A6" i="6"/>
  <c r="A5" i="6"/>
  <c r="A4" i="6"/>
  <c r="A11" i="5"/>
  <c r="A28" i="5"/>
  <c r="A45" i="5"/>
  <c r="A4" i="5"/>
  <c r="D28" i="4"/>
  <c r="D27" i="4"/>
  <c r="D26" i="4"/>
  <c r="D25" i="4"/>
  <c r="D24" i="4"/>
  <c r="D23" i="4"/>
  <c r="D22" i="4"/>
  <c r="D21" i="4"/>
  <c r="D20" i="4"/>
  <c r="D19" i="4"/>
  <c r="D27" i="2"/>
  <c r="H27" i="2"/>
  <c r="G27" i="2"/>
  <c r="C27" i="2"/>
  <c r="B27" i="2"/>
  <c r="M25" i="2"/>
  <c r="E11" i="5"/>
  <c r="K243" i="7"/>
  <c r="K242" i="7"/>
  <c r="K241" i="7"/>
  <c r="K240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J45" i="3"/>
  <c r="J44" i="3"/>
  <c r="M44" i="3"/>
  <c r="J43" i="3"/>
  <c r="J42" i="3"/>
  <c r="J41" i="3"/>
  <c r="J40" i="3"/>
  <c r="J39" i="3"/>
  <c r="J38" i="3"/>
  <c r="M38" i="3"/>
  <c r="J37" i="3"/>
  <c r="J36" i="3"/>
  <c r="J35" i="3"/>
  <c r="J34" i="3"/>
  <c r="J33" i="3"/>
  <c r="M33" i="3"/>
  <c r="U33" i="3"/>
  <c r="J32" i="3"/>
  <c r="J31" i="3"/>
  <c r="J30" i="3"/>
  <c r="M30" i="3"/>
  <c r="J29" i="3"/>
  <c r="J28" i="3"/>
  <c r="M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M14" i="3"/>
  <c r="J13" i="3"/>
  <c r="J12" i="3"/>
  <c r="J11" i="3"/>
  <c r="J10" i="3"/>
  <c r="J9" i="3"/>
  <c r="M9" i="3"/>
  <c r="J8" i="3"/>
  <c r="J7" i="3"/>
  <c r="J6" i="3"/>
  <c r="D35" i="2"/>
  <c r="D25" i="2"/>
  <c r="AK15" i="9"/>
  <c r="AJ15" i="9"/>
  <c r="AI15" i="9"/>
  <c r="AH15" i="9"/>
  <c r="AG15" i="9"/>
  <c r="AF15" i="9"/>
  <c r="AE15" i="9"/>
  <c r="AD15" i="9"/>
  <c r="AC15" i="9"/>
  <c r="AB15" i="9"/>
  <c r="Y15" i="9"/>
  <c r="H15" i="9"/>
  <c r="C15" i="9"/>
  <c r="B15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R59" i="9"/>
  <c r="Q59" i="9"/>
  <c r="P59" i="9"/>
  <c r="O59" i="9"/>
  <c r="M59" i="9"/>
  <c r="L59" i="9"/>
  <c r="K59" i="9"/>
  <c r="J59" i="9"/>
  <c r="I59" i="9"/>
  <c r="H59" i="9"/>
  <c r="G59" i="9"/>
  <c r="F59" i="9"/>
  <c r="E59" i="9"/>
  <c r="D59" i="9"/>
  <c r="C59" i="9"/>
  <c r="B59" i="9"/>
  <c r="AK66" i="9"/>
  <c r="AJ66" i="9"/>
  <c r="AI66" i="9"/>
  <c r="AH66" i="9"/>
  <c r="AG66" i="9"/>
  <c r="AF66" i="9"/>
  <c r="AE66" i="9"/>
  <c r="AD66" i="9"/>
  <c r="AC66" i="9"/>
  <c r="AB66" i="9"/>
  <c r="Y66" i="9"/>
  <c r="X66" i="9"/>
  <c r="W66" i="9"/>
  <c r="V66" i="9"/>
  <c r="U66" i="9"/>
  <c r="R66" i="9"/>
  <c r="Q66" i="9"/>
  <c r="P66" i="9"/>
  <c r="M66" i="9"/>
  <c r="L66" i="9"/>
  <c r="K66" i="9"/>
  <c r="J66" i="9"/>
  <c r="I66" i="9"/>
  <c r="H66" i="9"/>
  <c r="G66" i="9"/>
  <c r="C66" i="9"/>
  <c r="B6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R26" i="9"/>
  <c r="Q26" i="9"/>
  <c r="P26" i="9"/>
  <c r="O26" i="9"/>
  <c r="M26" i="9"/>
  <c r="L26" i="9"/>
  <c r="K26" i="9"/>
  <c r="J26" i="9"/>
  <c r="I26" i="9"/>
  <c r="H26" i="9"/>
  <c r="G26" i="9"/>
  <c r="F26" i="9"/>
  <c r="E26" i="9"/>
  <c r="D26" i="9"/>
  <c r="C26" i="9"/>
  <c r="B26" i="9"/>
  <c r="AK33" i="9"/>
  <c r="AJ33" i="9"/>
  <c r="AI33" i="9"/>
  <c r="AH33" i="9"/>
  <c r="AG33" i="9"/>
  <c r="AF33" i="9"/>
  <c r="AE33" i="9"/>
  <c r="AD33" i="9"/>
  <c r="AC33" i="9"/>
  <c r="AB33" i="9"/>
  <c r="Y33" i="9"/>
  <c r="X33" i="9"/>
  <c r="W33" i="9"/>
  <c r="V33" i="9"/>
  <c r="U33" i="9"/>
  <c r="R33" i="9"/>
  <c r="Q33" i="9"/>
  <c r="P33" i="9"/>
  <c r="M33" i="9"/>
  <c r="L33" i="9"/>
  <c r="K33" i="9"/>
  <c r="J33" i="9"/>
  <c r="I33" i="9"/>
  <c r="H33" i="9"/>
  <c r="G33" i="9"/>
  <c r="C33" i="9"/>
  <c r="B33" i="9"/>
  <c r="AK95" i="9"/>
  <c r="AK99" i="9"/>
  <c r="AJ95" i="9"/>
  <c r="AJ99" i="9"/>
  <c r="AI95" i="9"/>
  <c r="AH95" i="9"/>
  <c r="AH99" i="9"/>
  <c r="AG95" i="9"/>
  <c r="AG99" i="9"/>
  <c r="AF95" i="9"/>
  <c r="AF99" i="9"/>
  <c r="AE95" i="9"/>
  <c r="AD95" i="9"/>
  <c r="AD99" i="9"/>
  <c r="AC95" i="9"/>
  <c r="AB95" i="9"/>
  <c r="AA95" i="9"/>
  <c r="Z95" i="9"/>
  <c r="Y95" i="9"/>
  <c r="Y99" i="9"/>
  <c r="X95" i="9"/>
  <c r="X99" i="9"/>
  <c r="W95" i="9"/>
  <c r="W99" i="9"/>
  <c r="V95" i="9"/>
  <c r="U95" i="9"/>
  <c r="U99" i="9"/>
  <c r="T95" i="9"/>
  <c r="S95" i="9"/>
  <c r="R95" i="9"/>
  <c r="R99" i="9"/>
  <c r="Q95" i="9"/>
  <c r="Q99" i="9"/>
  <c r="P95" i="9"/>
  <c r="O95" i="9"/>
  <c r="N95" i="9"/>
  <c r="M95" i="9"/>
  <c r="L95" i="9"/>
  <c r="K95" i="9"/>
  <c r="J95" i="9"/>
  <c r="J99" i="9"/>
  <c r="I95" i="9"/>
  <c r="H95" i="9"/>
  <c r="G95" i="9"/>
  <c r="G99" i="9"/>
  <c r="C95" i="9"/>
  <c r="B95" i="9"/>
  <c r="B99" i="9"/>
  <c r="AK92" i="9"/>
  <c r="AJ92" i="9"/>
  <c r="AI92" i="9"/>
  <c r="AH92" i="9"/>
  <c r="AG92" i="9"/>
  <c r="AF92" i="9"/>
  <c r="AE92" i="9"/>
  <c r="AD92" i="9"/>
  <c r="AC92" i="9"/>
  <c r="AB92" i="9"/>
  <c r="AA92" i="9"/>
  <c r="Z92" i="9"/>
  <c r="Y92" i="9"/>
  <c r="X92" i="9"/>
  <c r="W92" i="9"/>
  <c r="V92" i="9"/>
  <c r="U92" i="9"/>
  <c r="T92" i="9"/>
  <c r="R92" i="9"/>
  <c r="Q92" i="9"/>
  <c r="P92" i="9"/>
  <c r="O92" i="9"/>
  <c r="M92" i="9"/>
  <c r="L92" i="9"/>
  <c r="K92" i="9"/>
  <c r="J92" i="9"/>
  <c r="I92" i="9"/>
  <c r="H92" i="9"/>
  <c r="G92" i="9"/>
  <c r="F92" i="9"/>
  <c r="E92" i="9"/>
  <c r="D92" i="9"/>
  <c r="C92" i="9"/>
  <c r="B92" i="9"/>
  <c r="C24" i="1"/>
  <c r="D24" i="1"/>
  <c r="C10" i="1"/>
  <c r="C25" i="1"/>
  <c r="C11" i="1"/>
  <c r="C26" i="10"/>
  <c r="C25" i="10"/>
  <c r="B26" i="10"/>
  <c r="B25" i="10"/>
  <c r="G10" i="10"/>
  <c r="G20" i="10"/>
  <c r="F10" i="10"/>
  <c r="F20" i="10"/>
  <c r="G9" i="10"/>
  <c r="G19" i="10"/>
  <c r="F9" i="10"/>
  <c r="F19" i="10"/>
  <c r="G8" i="10"/>
  <c r="G18" i="10"/>
  <c r="F8" i="10"/>
  <c r="F18" i="10"/>
  <c r="G7" i="10"/>
  <c r="G17" i="10"/>
  <c r="F7" i="10"/>
  <c r="F17" i="10"/>
  <c r="G6" i="10"/>
  <c r="G16" i="10"/>
  <c r="F6" i="10"/>
  <c r="F16" i="10"/>
  <c r="G5" i="10"/>
  <c r="G15" i="10"/>
  <c r="F5" i="10"/>
  <c r="F15" i="10"/>
  <c r="AK51" i="9"/>
  <c r="AJ51" i="9"/>
  <c r="AI51" i="9"/>
  <c r="AH51" i="9"/>
  <c r="AG51" i="9"/>
  <c r="AF51" i="9"/>
  <c r="AF53" i="9"/>
  <c r="AE51" i="9"/>
  <c r="AD51" i="9"/>
  <c r="AC51" i="9"/>
  <c r="AB51" i="9"/>
  <c r="Y51" i="9"/>
  <c r="H51" i="9"/>
  <c r="G51" i="9"/>
  <c r="D51" i="9"/>
  <c r="C51" i="9"/>
  <c r="B51" i="9"/>
  <c r="B84" i="9"/>
  <c r="B86" i="9"/>
  <c r="AL80" i="9"/>
  <c r="AL85" i="9"/>
  <c r="AK50" i="9"/>
  <c r="AK53" i="9"/>
  <c r="AJ50" i="9"/>
  <c r="AI50" i="9"/>
  <c r="AI53" i="9"/>
  <c r="AH50" i="9"/>
  <c r="AG50" i="9"/>
  <c r="AG53" i="9"/>
  <c r="AF50" i="9"/>
  <c r="AE50" i="9"/>
  <c r="AD50" i="9"/>
  <c r="AC50" i="9"/>
  <c r="AB50" i="9"/>
  <c r="Y50" i="9"/>
  <c r="X50" i="9"/>
  <c r="W50" i="9"/>
  <c r="V50" i="9"/>
  <c r="U50" i="9"/>
  <c r="T50" i="9"/>
  <c r="S50" i="9"/>
  <c r="P50" i="9"/>
  <c r="O50" i="9"/>
  <c r="N50" i="9"/>
  <c r="M50" i="9"/>
  <c r="M83" i="9"/>
  <c r="L50" i="9"/>
  <c r="K50" i="9"/>
  <c r="J50" i="9"/>
  <c r="I50" i="9"/>
  <c r="H50" i="9"/>
  <c r="H53" i="9"/>
  <c r="C50" i="9"/>
  <c r="C83" i="9"/>
  <c r="AK48" i="9"/>
  <c r="AJ48" i="9"/>
  <c r="AI48" i="9"/>
  <c r="AH48" i="9"/>
  <c r="AG48" i="9"/>
  <c r="AF48" i="9"/>
  <c r="AE48" i="9"/>
  <c r="AD48" i="9"/>
  <c r="AC48" i="9"/>
  <c r="AB48" i="9"/>
  <c r="Y48" i="9"/>
  <c r="H48" i="9"/>
  <c r="C48" i="9"/>
  <c r="B48" i="9"/>
  <c r="B50" i="9"/>
  <c r="AL19" i="9"/>
  <c r="AL14" i="9"/>
  <c r="AK18" i="9"/>
  <c r="AK84" i="9"/>
  <c r="AJ18" i="9"/>
  <c r="AI18" i="9"/>
  <c r="AI84" i="9"/>
  <c r="AH18" i="9"/>
  <c r="AH20" i="9"/>
  <c r="AG18" i="9"/>
  <c r="AF18" i="9"/>
  <c r="AE18" i="9"/>
  <c r="AE84" i="9"/>
  <c r="AD18" i="9"/>
  <c r="AD84" i="9"/>
  <c r="AC18" i="9"/>
  <c r="AC84" i="9"/>
  <c r="AB18" i="9"/>
  <c r="AB84" i="9"/>
  <c r="Y18" i="9"/>
  <c r="Y84" i="9"/>
  <c r="X18" i="9"/>
  <c r="W18" i="9"/>
  <c r="P18" i="9"/>
  <c r="O18" i="9"/>
  <c r="AK17" i="9"/>
  <c r="AJ17" i="9"/>
  <c r="AI17" i="9"/>
  <c r="AH17" i="9"/>
  <c r="AG17" i="9"/>
  <c r="AG20" i="9"/>
  <c r="AF17" i="9"/>
  <c r="AF20" i="9"/>
  <c r="AE17" i="9"/>
  <c r="AD17" i="9"/>
  <c r="AD20" i="9"/>
  <c r="AC17" i="9"/>
  <c r="AB17" i="9"/>
  <c r="Y17" i="9"/>
  <c r="V17" i="9"/>
  <c r="V83" i="9"/>
  <c r="U17" i="9"/>
  <c r="N17" i="9"/>
  <c r="N83" i="9"/>
  <c r="M17" i="9"/>
  <c r="H18" i="9"/>
  <c r="G18" i="9"/>
  <c r="D18" i="9"/>
  <c r="D84" i="9"/>
  <c r="C18" i="9"/>
  <c r="C20" i="9"/>
  <c r="B18" i="9"/>
  <c r="J17" i="9"/>
  <c r="J83" i="9"/>
  <c r="I17" i="9"/>
  <c r="H17" i="9"/>
  <c r="H20" i="9"/>
  <c r="C17" i="9"/>
  <c r="B17" i="9"/>
  <c r="AK79" i="9"/>
  <c r="AJ79" i="9"/>
  <c r="AI79" i="9"/>
  <c r="AH79" i="9"/>
  <c r="AG79" i="9"/>
  <c r="AF79" i="9"/>
  <c r="AE79" i="9"/>
  <c r="AD79" i="9"/>
  <c r="AC79" i="9"/>
  <c r="AB79" i="9"/>
  <c r="Y79" i="9"/>
  <c r="X79" i="9"/>
  <c r="W79" i="9"/>
  <c r="V79" i="9"/>
  <c r="U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AK78" i="9"/>
  <c r="AJ78" i="9"/>
  <c r="AI78" i="9"/>
  <c r="AH78" i="9"/>
  <c r="AG78" i="9"/>
  <c r="AF78" i="9"/>
  <c r="AE78" i="9"/>
  <c r="AD78" i="9"/>
  <c r="AC78" i="9"/>
  <c r="AB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AK77" i="9"/>
  <c r="AJ77" i="9"/>
  <c r="AI77" i="9"/>
  <c r="AH77" i="9"/>
  <c r="AG77" i="9"/>
  <c r="AF77" i="9"/>
  <c r="AE77" i="9"/>
  <c r="AD77" i="9"/>
  <c r="AC77" i="9"/>
  <c r="AB77" i="9"/>
  <c r="AA77" i="9"/>
  <c r="Z77" i="9"/>
  <c r="Y77" i="9"/>
  <c r="X77" i="9"/>
  <c r="W77" i="9"/>
  <c r="V77" i="9"/>
  <c r="U77" i="9"/>
  <c r="R77" i="9"/>
  <c r="Q77" i="9"/>
  <c r="P77" i="9"/>
  <c r="O77" i="9"/>
  <c r="N77" i="9"/>
  <c r="M77" i="9"/>
  <c r="J77" i="9"/>
  <c r="I77" i="9"/>
  <c r="H77" i="9"/>
  <c r="G77" i="9"/>
  <c r="F77" i="9"/>
  <c r="E77" i="9"/>
  <c r="D77" i="9"/>
  <c r="C77" i="9"/>
  <c r="AK76" i="9"/>
  <c r="AJ76" i="9"/>
  <c r="AI76" i="9"/>
  <c r="AH76" i="9"/>
  <c r="AG76" i="9"/>
  <c r="AF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P76" i="9"/>
  <c r="O76" i="9"/>
  <c r="N76" i="9"/>
  <c r="M76" i="9"/>
  <c r="L76" i="9"/>
  <c r="K76" i="9"/>
  <c r="H76" i="9"/>
  <c r="G76" i="9"/>
  <c r="F76" i="9"/>
  <c r="E76" i="9"/>
  <c r="D76" i="9"/>
  <c r="C76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T75" i="9"/>
  <c r="S75" i="9"/>
  <c r="R75" i="9"/>
  <c r="Q75" i="9"/>
  <c r="P75" i="9"/>
  <c r="O75" i="9"/>
  <c r="L75" i="9"/>
  <c r="K75" i="9"/>
  <c r="J75" i="9"/>
  <c r="I75" i="9"/>
  <c r="H75" i="9"/>
  <c r="G75" i="9"/>
  <c r="F75" i="9"/>
  <c r="E75" i="9"/>
  <c r="D75" i="9"/>
  <c r="C75" i="9"/>
  <c r="AK74" i="9"/>
  <c r="AJ74" i="9"/>
  <c r="AI74" i="9"/>
  <c r="AH74" i="9"/>
  <c r="AG74" i="9"/>
  <c r="AF74" i="9"/>
  <c r="AE74" i="9"/>
  <c r="AD74" i="9"/>
  <c r="AC74" i="9"/>
  <c r="AB74" i="9"/>
  <c r="AA74" i="9"/>
  <c r="Z74" i="9"/>
  <c r="Y74" i="9"/>
  <c r="V74" i="9"/>
  <c r="U74" i="9"/>
  <c r="R74" i="9"/>
  <c r="Q74" i="9"/>
  <c r="N74" i="9"/>
  <c r="M74" i="9"/>
  <c r="J74" i="9"/>
  <c r="I74" i="9"/>
  <c r="H74" i="9"/>
  <c r="G74" i="9"/>
  <c r="F74" i="9"/>
  <c r="E74" i="9"/>
  <c r="D74" i="9"/>
  <c r="C74" i="9"/>
  <c r="AK73" i="9"/>
  <c r="AJ73" i="9"/>
  <c r="AI73" i="9"/>
  <c r="AH73" i="9"/>
  <c r="AG73" i="9"/>
  <c r="AF73" i="9"/>
  <c r="AE73" i="9"/>
  <c r="AD73" i="9"/>
  <c r="AC73" i="9"/>
  <c r="AB73" i="9"/>
  <c r="AA73" i="9"/>
  <c r="Z73" i="9"/>
  <c r="Y73" i="9"/>
  <c r="V73" i="9"/>
  <c r="U73" i="9"/>
  <c r="R73" i="9"/>
  <c r="Q73" i="9"/>
  <c r="N73" i="9"/>
  <c r="M73" i="9"/>
  <c r="J73" i="9"/>
  <c r="I73" i="9"/>
  <c r="H73" i="9"/>
  <c r="H81" i="9"/>
  <c r="G73" i="9"/>
  <c r="F73" i="9"/>
  <c r="E73" i="9"/>
  <c r="D73" i="9"/>
  <c r="C73" i="9"/>
  <c r="AK72" i="9"/>
  <c r="AJ72" i="9"/>
  <c r="AJ81" i="9"/>
  <c r="AI72" i="9"/>
  <c r="AH72" i="9"/>
  <c r="AG72" i="9"/>
  <c r="AF72" i="9"/>
  <c r="AE72" i="9"/>
  <c r="AE81" i="9"/>
  <c r="AD72" i="9"/>
  <c r="AC72" i="9"/>
  <c r="AB72" i="9"/>
  <c r="AA72" i="9"/>
  <c r="Z72" i="9"/>
  <c r="Y72" i="9"/>
  <c r="X72" i="9"/>
  <c r="W72" i="9"/>
  <c r="V72" i="9"/>
  <c r="U72" i="9"/>
  <c r="T72" i="9"/>
  <c r="S72" i="9"/>
  <c r="P72" i="9"/>
  <c r="O72" i="9"/>
  <c r="N72" i="9"/>
  <c r="M72" i="9"/>
  <c r="L72" i="9"/>
  <c r="K72" i="9"/>
  <c r="J72" i="9"/>
  <c r="I72" i="9"/>
  <c r="H72" i="9"/>
  <c r="E72" i="9"/>
  <c r="D72" i="9"/>
  <c r="C72" i="9"/>
  <c r="AK71" i="9"/>
  <c r="AJ71" i="9"/>
  <c r="AI71" i="9"/>
  <c r="AH71" i="9"/>
  <c r="AG71" i="9"/>
  <c r="AF71" i="9"/>
  <c r="AF81" i="9"/>
  <c r="AE71" i="9"/>
  <c r="AD71" i="9"/>
  <c r="AC71" i="9"/>
  <c r="AC81" i="9"/>
  <c r="AB71" i="9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D71" i="9"/>
  <c r="C71" i="9"/>
  <c r="C81" i="9"/>
  <c r="AK70" i="9"/>
  <c r="AJ70" i="9"/>
  <c r="AI70" i="9"/>
  <c r="AH70" i="9"/>
  <c r="AG70" i="9"/>
  <c r="AF70" i="9"/>
  <c r="AE70" i="9"/>
  <c r="AD70" i="9"/>
  <c r="AC70" i="9"/>
  <c r="AB70" i="9"/>
  <c r="AB81" i="9"/>
  <c r="AA70" i="9"/>
  <c r="Z70" i="9"/>
  <c r="Y70" i="9"/>
  <c r="X70" i="9"/>
  <c r="W70" i="9"/>
  <c r="V70" i="9"/>
  <c r="U70" i="9"/>
  <c r="T70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C70" i="9"/>
  <c r="B79" i="9"/>
  <c r="B78" i="9"/>
  <c r="B77" i="9"/>
  <c r="B76" i="9"/>
  <c r="B75" i="9"/>
  <c r="B74" i="9"/>
  <c r="B73" i="9"/>
  <c r="B72" i="9"/>
  <c r="B71" i="9"/>
  <c r="B81" i="9"/>
  <c r="B70" i="9"/>
  <c r="G40" i="5"/>
  <c r="G43" i="5"/>
  <c r="G41" i="5"/>
  <c r="E40" i="5"/>
  <c r="C47" i="5"/>
  <c r="C48" i="5"/>
  <c r="C40" i="5"/>
  <c r="C44" i="5"/>
  <c r="J30" i="5"/>
  <c r="J23" i="5"/>
  <c r="J27" i="5"/>
  <c r="I30" i="5"/>
  <c r="I23" i="5"/>
  <c r="I25" i="5"/>
  <c r="G30" i="5"/>
  <c r="G31" i="5"/>
  <c r="G34" i="5"/>
  <c r="G23" i="5"/>
  <c r="G24" i="5"/>
  <c r="F30" i="5"/>
  <c r="F23" i="5"/>
  <c r="F26" i="5"/>
  <c r="D30" i="5"/>
  <c r="D23" i="5"/>
  <c r="C30" i="5"/>
  <c r="C23" i="5"/>
  <c r="C27" i="5"/>
  <c r="G13" i="5"/>
  <c r="G6" i="5"/>
  <c r="G8" i="5"/>
  <c r="B17" i="5"/>
  <c r="B34" i="5"/>
  <c r="B16" i="5"/>
  <c r="B15" i="5"/>
  <c r="B32" i="5"/>
  <c r="B14" i="5"/>
  <c r="B13" i="5"/>
  <c r="E30" i="5"/>
  <c r="B46" i="5"/>
  <c r="B10" i="5"/>
  <c r="B9" i="5"/>
  <c r="B26" i="5"/>
  <c r="B8" i="5"/>
  <c r="B7" i="5"/>
  <c r="B6" i="5"/>
  <c r="B21" i="5"/>
  <c r="C13" i="6"/>
  <c r="D13" i="6"/>
  <c r="C12" i="6"/>
  <c r="D12" i="6"/>
  <c r="M42" i="2"/>
  <c r="M48" i="2"/>
  <c r="G42" i="2"/>
  <c r="F50" i="2"/>
  <c r="F49" i="2"/>
  <c r="F47" i="2"/>
  <c r="F46" i="2"/>
  <c r="F43" i="2"/>
  <c r="D49" i="2"/>
  <c r="D46" i="2"/>
  <c r="D43" i="2"/>
  <c r="B50" i="2"/>
  <c r="B46" i="2"/>
  <c r="B43" i="2"/>
  <c r="F42" i="2"/>
  <c r="F41" i="2"/>
  <c r="D42" i="2"/>
  <c r="B42" i="2"/>
  <c r="H47" i="4"/>
  <c r="H37" i="2"/>
  <c r="H36" i="2"/>
  <c r="G45" i="5"/>
  <c r="G46" i="4"/>
  <c r="E47" i="4"/>
  <c r="C47" i="4"/>
  <c r="D47" i="4"/>
  <c r="B47" i="4"/>
  <c r="H34" i="4"/>
  <c r="G34" i="4"/>
  <c r="E34" i="4"/>
  <c r="C34" i="4"/>
  <c r="B34" i="4"/>
  <c r="F20" i="4"/>
  <c r="C20" i="4"/>
  <c r="B20" i="4"/>
  <c r="F47" i="4"/>
  <c r="F5" i="4"/>
  <c r="D5" i="4"/>
  <c r="B8" i="6"/>
  <c r="B7" i="6"/>
  <c r="M243" i="7"/>
  <c r="H55" i="4"/>
  <c r="H54" i="4"/>
  <c r="H53" i="4"/>
  <c r="H52" i="4"/>
  <c r="H51" i="4"/>
  <c r="H50" i="4"/>
  <c r="H49" i="4"/>
  <c r="H48" i="4"/>
  <c r="E53" i="4"/>
  <c r="C53" i="4"/>
  <c r="D53" i="4"/>
  <c r="C55" i="4"/>
  <c r="B55" i="4"/>
  <c r="C54" i="4"/>
  <c r="B54" i="4"/>
  <c r="D54" i="4"/>
  <c r="G20" i="2"/>
  <c r="G19" i="2"/>
  <c r="K69" i="2"/>
  <c r="B53" i="4"/>
  <c r="B52" i="4"/>
  <c r="B51" i="4"/>
  <c r="D51" i="4"/>
  <c r="B50" i="4"/>
  <c r="D50" i="4"/>
  <c r="B49" i="4"/>
  <c r="B48" i="4"/>
  <c r="H40" i="4"/>
  <c r="G40" i="4"/>
  <c r="E40" i="4"/>
  <c r="C40" i="4"/>
  <c r="B42" i="4"/>
  <c r="D42" i="4"/>
  <c r="B41" i="4"/>
  <c r="B40" i="4"/>
  <c r="D40" i="4"/>
  <c r="F40" i="4"/>
  <c r="B39" i="4"/>
  <c r="D39" i="4"/>
  <c r="F39" i="4"/>
  <c r="B38" i="4"/>
  <c r="B37" i="4"/>
  <c r="B36" i="4"/>
  <c r="B35" i="4"/>
  <c r="F26" i="4"/>
  <c r="C26" i="4"/>
  <c r="I40" i="4"/>
  <c r="B26" i="4"/>
  <c r="F11" i="4"/>
  <c r="D11" i="4"/>
  <c r="E11" i="4"/>
  <c r="G48" i="2"/>
  <c r="F48" i="2"/>
  <c r="D48" i="2"/>
  <c r="B48" i="2"/>
  <c r="M242" i="7"/>
  <c r="M50" i="2"/>
  <c r="K50" i="2"/>
  <c r="M49" i="2"/>
  <c r="K49" i="2"/>
  <c r="E55" i="4"/>
  <c r="E54" i="4"/>
  <c r="B28" i="4"/>
  <c r="B27" i="4"/>
  <c r="G50" i="2"/>
  <c r="G49" i="2"/>
  <c r="B49" i="2"/>
  <c r="M47" i="2"/>
  <c r="G47" i="2"/>
  <c r="B47" i="2"/>
  <c r="E52" i="4"/>
  <c r="B25" i="4"/>
  <c r="F10" i="4"/>
  <c r="D10" i="4"/>
  <c r="E10" i="4"/>
  <c r="M241" i="7"/>
  <c r="D47" i="2"/>
  <c r="M46" i="2"/>
  <c r="G46" i="2"/>
  <c r="E51" i="4"/>
  <c r="B24" i="4"/>
  <c r="F9" i="4"/>
  <c r="D9" i="4"/>
  <c r="E9" i="4"/>
  <c r="E50" i="4"/>
  <c r="B23" i="4"/>
  <c r="M45" i="2"/>
  <c r="F8" i="4"/>
  <c r="D8" i="4"/>
  <c r="E8" i="4"/>
  <c r="G8" i="4"/>
  <c r="G45" i="2"/>
  <c r="F45" i="2"/>
  <c r="F44" i="2"/>
  <c r="B44" i="2"/>
  <c r="B45" i="2"/>
  <c r="M44" i="2"/>
  <c r="G44" i="2"/>
  <c r="E49" i="4"/>
  <c r="B22" i="4"/>
  <c r="F7" i="4"/>
  <c r="D7" i="4"/>
  <c r="B8" i="4"/>
  <c r="B7" i="4"/>
  <c r="M43" i="2"/>
  <c r="G43" i="2"/>
  <c r="G41" i="2"/>
  <c r="E48" i="4"/>
  <c r="B21" i="4"/>
  <c r="F6" i="4"/>
  <c r="D6" i="4"/>
  <c r="M41" i="2"/>
  <c r="E46" i="4"/>
  <c r="F46" i="4"/>
  <c r="B19" i="4"/>
  <c r="B41" i="2"/>
  <c r="M240" i="7"/>
  <c r="D41" i="2"/>
  <c r="C37" i="2"/>
  <c r="B37" i="2"/>
  <c r="C36" i="2"/>
  <c r="B36" i="2"/>
  <c r="C35" i="2"/>
  <c r="B35" i="2"/>
  <c r="C32" i="2"/>
  <c r="B32" i="2"/>
  <c r="C31" i="2"/>
  <c r="B31" i="2"/>
  <c r="C29" i="2"/>
  <c r="B29" i="2"/>
  <c r="B30" i="2"/>
  <c r="C28" i="2"/>
  <c r="B28" i="2"/>
  <c r="C26" i="2"/>
  <c r="B26" i="2"/>
  <c r="C25" i="2"/>
  <c r="B25" i="2"/>
  <c r="B20" i="2"/>
  <c r="B19" i="2"/>
  <c r="C30" i="2"/>
  <c r="B4" i="2"/>
  <c r="B4" i="4"/>
  <c r="K4" i="4"/>
  <c r="S45" i="3"/>
  <c r="Q45" i="3"/>
  <c r="R45" i="3"/>
  <c r="P45" i="3"/>
  <c r="O45" i="3"/>
  <c r="N45" i="3"/>
  <c r="T45" i="3"/>
  <c r="U45" i="3"/>
  <c r="L45" i="3"/>
  <c r="K45" i="3"/>
  <c r="M45" i="3"/>
  <c r="S44" i="3"/>
  <c r="Q44" i="3"/>
  <c r="R44" i="3"/>
  <c r="P44" i="3"/>
  <c r="T44" i="3"/>
  <c r="O44" i="3"/>
  <c r="N44" i="3"/>
  <c r="L44" i="3"/>
  <c r="K44" i="3"/>
  <c r="S43" i="3"/>
  <c r="Q43" i="3"/>
  <c r="R43" i="3"/>
  <c r="P43" i="3"/>
  <c r="O43" i="3"/>
  <c r="N43" i="3"/>
  <c r="L43" i="3"/>
  <c r="K43" i="3"/>
  <c r="S42" i="3"/>
  <c r="Q42" i="3"/>
  <c r="R42" i="3"/>
  <c r="P42" i="3"/>
  <c r="O42" i="3"/>
  <c r="N42" i="3"/>
  <c r="L42" i="3"/>
  <c r="M42" i="3"/>
  <c r="K42" i="3"/>
  <c r="S41" i="3"/>
  <c r="R41" i="3"/>
  <c r="Q41" i="3"/>
  <c r="P41" i="3"/>
  <c r="O41" i="3"/>
  <c r="N41" i="3"/>
  <c r="T41" i="3"/>
  <c r="L41" i="3"/>
  <c r="K41" i="3"/>
  <c r="M41" i="3"/>
  <c r="S40" i="3"/>
  <c r="R40" i="3"/>
  <c r="Q40" i="3"/>
  <c r="P40" i="3"/>
  <c r="O40" i="3"/>
  <c r="N40" i="3"/>
  <c r="L40" i="3"/>
  <c r="M40" i="3"/>
  <c r="K40" i="3"/>
  <c r="S39" i="3"/>
  <c r="Q39" i="3"/>
  <c r="R39" i="3"/>
  <c r="P39" i="3"/>
  <c r="O39" i="3"/>
  <c r="T39" i="3"/>
  <c r="N39" i="3"/>
  <c r="L39" i="3"/>
  <c r="K39" i="3"/>
  <c r="S38" i="3"/>
  <c r="Q38" i="3"/>
  <c r="R38" i="3"/>
  <c r="P38" i="3"/>
  <c r="O38" i="3"/>
  <c r="N38" i="3"/>
  <c r="L38" i="3"/>
  <c r="K38" i="3"/>
  <c r="S37" i="3"/>
  <c r="R37" i="3"/>
  <c r="T37" i="3"/>
  <c r="U37" i="3"/>
  <c r="Q37" i="3"/>
  <c r="P37" i="3"/>
  <c r="O37" i="3"/>
  <c r="N37" i="3"/>
  <c r="L37" i="3"/>
  <c r="K37" i="3"/>
  <c r="M37" i="3"/>
  <c r="S36" i="3"/>
  <c r="Q36" i="3"/>
  <c r="R36" i="3"/>
  <c r="P36" i="3"/>
  <c r="O36" i="3"/>
  <c r="N36" i="3"/>
  <c r="L36" i="3"/>
  <c r="K36" i="3"/>
  <c r="S35" i="3"/>
  <c r="Q35" i="3"/>
  <c r="R35" i="3"/>
  <c r="P35" i="3"/>
  <c r="O35" i="3"/>
  <c r="N35" i="3"/>
  <c r="L35" i="3"/>
  <c r="K35" i="3"/>
  <c r="S34" i="3"/>
  <c r="Q34" i="3"/>
  <c r="R34" i="3"/>
  <c r="P34" i="3"/>
  <c r="O34" i="3"/>
  <c r="N34" i="3"/>
  <c r="M34" i="3"/>
  <c r="L34" i="3"/>
  <c r="K34" i="3"/>
  <c r="S33" i="3"/>
  <c r="T33" i="3"/>
  <c r="Q33" i="3"/>
  <c r="R33" i="3"/>
  <c r="P33" i="3"/>
  <c r="O33" i="3"/>
  <c r="N33" i="3"/>
  <c r="L33" i="3"/>
  <c r="K33" i="3"/>
  <c r="S32" i="3"/>
  <c r="R32" i="3"/>
  <c r="Q32" i="3"/>
  <c r="P32" i="3"/>
  <c r="O32" i="3"/>
  <c r="N32" i="3"/>
  <c r="L32" i="3"/>
  <c r="K32" i="3"/>
  <c r="M32" i="3"/>
  <c r="S31" i="3"/>
  <c r="Q31" i="3"/>
  <c r="R31" i="3"/>
  <c r="P31" i="3"/>
  <c r="O31" i="3"/>
  <c r="N31" i="3"/>
  <c r="T31" i="3"/>
  <c r="U31" i="3"/>
  <c r="L31" i="3"/>
  <c r="K31" i="3"/>
  <c r="M31" i="3"/>
  <c r="S30" i="3"/>
  <c r="Q30" i="3"/>
  <c r="R30" i="3"/>
  <c r="P30" i="3"/>
  <c r="O30" i="3"/>
  <c r="N30" i="3"/>
  <c r="L30" i="3"/>
  <c r="K30" i="3"/>
  <c r="S29" i="3"/>
  <c r="Q29" i="3"/>
  <c r="R29" i="3"/>
  <c r="P29" i="3"/>
  <c r="O29" i="3"/>
  <c r="T29" i="3"/>
  <c r="N29" i="3"/>
  <c r="L29" i="3"/>
  <c r="K29" i="3"/>
  <c r="M29" i="3"/>
  <c r="S28" i="3"/>
  <c r="R28" i="3"/>
  <c r="T28" i="3"/>
  <c r="Q28" i="3"/>
  <c r="P28" i="3"/>
  <c r="O28" i="3"/>
  <c r="N28" i="3"/>
  <c r="L28" i="3"/>
  <c r="K28" i="3"/>
  <c r="S27" i="3"/>
  <c r="Q27" i="3"/>
  <c r="R27" i="3"/>
  <c r="P27" i="3"/>
  <c r="O27" i="3"/>
  <c r="N27" i="3"/>
  <c r="T27" i="3"/>
  <c r="L27" i="3"/>
  <c r="K27" i="3"/>
  <c r="M27" i="3"/>
  <c r="U27" i="3"/>
  <c r="S26" i="3"/>
  <c r="Q26" i="3"/>
  <c r="P26" i="3"/>
  <c r="O26" i="3"/>
  <c r="N26" i="3"/>
  <c r="M26" i="3"/>
  <c r="L26" i="3"/>
  <c r="K26" i="3"/>
  <c r="S25" i="3"/>
  <c r="R25" i="3"/>
  <c r="Q25" i="3"/>
  <c r="P25" i="3"/>
  <c r="O25" i="3"/>
  <c r="N25" i="3"/>
  <c r="L25" i="3"/>
  <c r="K25" i="3"/>
  <c r="M25" i="3"/>
  <c r="S24" i="3"/>
  <c r="T24" i="3"/>
  <c r="U24" i="3"/>
  <c r="Q24" i="3"/>
  <c r="R24" i="3"/>
  <c r="P24" i="3"/>
  <c r="O24" i="3"/>
  <c r="N24" i="3"/>
  <c r="L24" i="3"/>
  <c r="K24" i="3"/>
  <c r="M24" i="3"/>
  <c r="S23" i="3"/>
  <c r="Q23" i="3"/>
  <c r="R23" i="3"/>
  <c r="P23" i="3"/>
  <c r="T23" i="3"/>
  <c r="O23" i="3"/>
  <c r="N23" i="3"/>
  <c r="L23" i="3"/>
  <c r="K23" i="3"/>
  <c r="S22" i="3"/>
  <c r="Q22" i="3"/>
  <c r="R22" i="3"/>
  <c r="P22" i="3"/>
  <c r="O22" i="3"/>
  <c r="N22" i="3"/>
  <c r="T22" i="3"/>
  <c r="L22" i="3"/>
  <c r="K22" i="3"/>
  <c r="S21" i="3"/>
  <c r="R21" i="3"/>
  <c r="Q21" i="3"/>
  <c r="P21" i="3"/>
  <c r="O21" i="3"/>
  <c r="T21" i="3"/>
  <c r="N21" i="3"/>
  <c r="L21" i="3"/>
  <c r="K21" i="3"/>
  <c r="M21" i="3"/>
  <c r="U21" i="3"/>
  <c r="S20" i="3"/>
  <c r="Q20" i="3"/>
  <c r="R20" i="3"/>
  <c r="P20" i="3"/>
  <c r="O20" i="3"/>
  <c r="N20" i="3"/>
  <c r="L20" i="3"/>
  <c r="K20" i="3"/>
  <c r="S19" i="3"/>
  <c r="Q19" i="3"/>
  <c r="R19" i="3"/>
  <c r="P19" i="3"/>
  <c r="T19" i="3"/>
  <c r="O19" i="3"/>
  <c r="N19" i="3"/>
  <c r="L19" i="3"/>
  <c r="K19" i="3"/>
  <c r="S18" i="3"/>
  <c r="Q18" i="3"/>
  <c r="R18" i="3"/>
  <c r="P18" i="3"/>
  <c r="O18" i="3"/>
  <c r="N18" i="3"/>
  <c r="L18" i="3"/>
  <c r="K18" i="3"/>
  <c r="S17" i="3"/>
  <c r="Q17" i="3"/>
  <c r="R17" i="3"/>
  <c r="P17" i="3"/>
  <c r="O17" i="3"/>
  <c r="N17" i="3"/>
  <c r="T17" i="3"/>
  <c r="U17" i="3"/>
  <c r="L17" i="3"/>
  <c r="K17" i="3"/>
  <c r="M17" i="3"/>
  <c r="S16" i="3"/>
  <c r="T16" i="3"/>
  <c r="R16" i="3"/>
  <c r="Q16" i="3"/>
  <c r="P16" i="3"/>
  <c r="O16" i="3"/>
  <c r="N16" i="3"/>
  <c r="L16" i="3"/>
  <c r="K16" i="3"/>
  <c r="S15" i="3"/>
  <c r="Q15" i="3"/>
  <c r="R15" i="3"/>
  <c r="P15" i="3"/>
  <c r="O15" i="3"/>
  <c r="N15" i="3"/>
  <c r="L15" i="3"/>
  <c r="K15" i="3"/>
  <c r="M15" i="3"/>
  <c r="S14" i="3"/>
  <c r="Q14" i="3"/>
  <c r="R14" i="3"/>
  <c r="P14" i="3"/>
  <c r="O14" i="3"/>
  <c r="N14" i="3"/>
  <c r="L14" i="3"/>
  <c r="K14" i="3"/>
  <c r="S13" i="3"/>
  <c r="Q13" i="3"/>
  <c r="R13" i="3"/>
  <c r="P13" i="3"/>
  <c r="T13" i="3"/>
  <c r="O13" i="3"/>
  <c r="N13" i="3"/>
  <c r="L13" i="3"/>
  <c r="M13" i="3"/>
  <c r="U13" i="3"/>
  <c r="K13" i="3"/>
  <c r="S12" i="3"/>
  <c r="R12" i="3"/>
  <c r="Q12" i="3"/>
  <c r="P12" i="3"/>
  <c r="O12" i="3"/>
  <c r="N12" i="3"/>
  <c r="L12" i="3"/>
  <c r="K12" i="3"/>
  <c r="S11" i="3"/>
  <c r="Q11" i="3"/>
  <c r="R11" i="3"/>
  <c r="P11" i="3"/>
  <c r="O11" i="3"/>
  <c r="N11" i="3"/>
  <c r="T11" i="3"/>
  <c r="L11" i="3"/>
  <c r="K11" i="3"/>
  <c r="M11" i="3"/>
  <c r="S10" i="3"/>
  <c r="Q10" i="3"/>
  <c r="R10" i="3"/>
  <c r="P10" i="3"/>
  <c r="O10" i="3"/>
  <c r="N10" i="3"/>
  <c r="L10" i="3"/>
  <c r="M10" i="3"/>
  <c r="K10" i="3"/>
  <c r="S9" i="3"/>
  <c r="Q9" i="3"/>
  <c r="R9" i="3"/>
  <c r="P9" i="3"/>
  <c r="O9" i="3"/>
  <c r="N9" i="3"/>
  <c r="L9" i="3"/>
  <c r="K9" i="3"/>
  <c r="C19" i="2"/>
  <c r="S8" i="3"/>
  <c r="R8" i="3"/>
  <c r="Q8" i="3"/>
  <c r="P8" i="3"/>
  <c r="T8" i="3"/>
  <c r="D20" i="2"/>
  <c r="O8" i="3"/>
  <c r="N8" i="3"/>
  <c r="L8" i="3"/>
  <c r="K8" i="3"/>
  <c r="M8" i="3"/>
  <c r="S7" i="3"/>
  <c r="Q7" i="3"/>
  <c r="R7" i="3"/>
  <c r="P7" i="3"/>
  <c r="O7" i="3"/>
  <c r="N7" i="3"/>
  <c r="L7" i="3"/>
  <c r="K7" i="3"/>
  <c r="M7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S6" i="3"/>
  <c r="Q6" i="3"/>
  <c r="R6" i="3"/>
  <c r="P6" i="3"/>
  <c r="T6" i="3"/>
  <c r="O6" i="3"/>
  <c r="N6" i="3"/>
  <c r="M6" i="3"/>
  <c r="L6" i="3"/>
  <c r="K6" i="3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D50" i="2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D45" i="2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M4" i="7"/>
  <c r="L1" i="7"/>
  <c r="J50" i="5"/>
  <c r="A80" i="5"/>
  <c r="J49" i="5"/>
  <c r="A79" i="5"/>
  <c r="J48" i="5"/>
  <c r="A78" i="5"/>
  <c r="J47" i="5"/>
  <c r="A77" i="5"/>
  <c r="J43" i="5"/>
  <c r="A60" i="5"/>
  <c r="J42" i="5"/>
  <c r="A59" i="5"/>
  <c r="J41" i="5"/>
  <c r="A58" i="5"/>
  <c r="J40" i="5"/>
  <c r="A57" i="5"/>
  <c r="C52" i="4"/>
  <c r="D52" i="4"/>
  <c r="C51" i="4"/>
  <c r="C50" i="4"/>
  <c r="C49" i="4"/>
  <c r="C48" i="4"/>
  <c r="D46" i="4"/>
  <c r="H42" i="4"/>
  <c r="G42" i="4"/>
  <c r="E42" i="4"/>
  <c r="C42" i="4"/>
  <c r="F42" i="4"/>
  <c r="H41" i="4"/>
  <c r="G41" i="4"/>
  <c r="I41" i="4"/>
  <c r="E41" i="4"/>
  <c r="C41" i="4"/>
  <c r="H39" i="4"/>
  <c r="I39" i="4"/>
  <c r="G39" i="4"/>
  <c r="E39" i="4"/>
  <c r="C39" i="4"/>
  <c r="H38" i="4"/>
  <c r="I38" i="4"/>
  <c r="G38" i="4"/>
  <c r="E38" i="4"/>
  <c r="C38" i="4"/>
  <c r="D38" i="4"/>
  <c r="F38" i="4"/>
  <c r="H37" i="4"/>
  <c r="G37" i="4"/>
  <c r="I37" i="4"/>
  <c r="J50" i="4"/>
  <c r="E37" i="4"/>
  <c r="C37" i="4"/>
  <c r="H36" i="4"/>
  <c r="G36" i="4"/>
  <c r="E36" i="4"/>
  <c r="C36" i="4"/>
  <c r="D36" i="4"/>
  <c r="F36" i="4"/>
  <c r="H35" i="4"/>
  <c r="G35" i="4"/>
  <c r="E35" i="4"/>
  <c r="C35" i="4"/>
  <c r="I33" i="4"/>
  <c r="J46" i="4"/>
  <c r="I41" i="2"/>
  <c r="D33" i="4"/>
  <c r="F33" i="4"/>
  <c r="F28" i="4"/>
  <c r="C28" i="4"/>
  <c r="I42" i="4"/>
  <c r="F27" i="4"/>
  <c r="C27" i="4"/>
  <c r="F25" i="4"/>
  <c r="C25" i="4"/>
  <c r="F24" i="4"/>
  <c r="C24" i="4"/>
  <c r="F23" i="4"/>
  <c r="C23" i="4"/>
  <c r="F22" i="4"/>
  <c r="C22" i="4"/>
  <c r="I36" i="4"/>
  <c r="F21" i="4"/>
  <c r="C21" i="4"/>
  <c r="T14" i="3"/>
  <c r="AL40" i="9"/>
  <c r="G21" i="1"/>
  <c r="AL8" i="9"/>
  <c r="AH83" i="9"/>
  <c r="AH86" i="9"/>
  <c r="S59" i="9"/>
  <c r="B13" i="4"/>
  <c r="S26" i="9"/>
  <c r="S92" i="9"/>
  <c r="B12" i="4"/>
  <c r="B6" i="4"/>
  <c r="B10" i="4"/>
  <c r="N26" i="9"/>
  <c r="N92" i="9"/>
  <c r="N59" i="9"/>
  <c r="AJ83" i="9"/>
  <c r="B83" i="9"/>
  <c r="AJ20" i="9"/>
  <c r="AH53" i="9"/>
  <c r="AJ53" i="9"/>
  <c r="U83" i="9"/>
  <c r="AD83" i="9"/>
  <c r="H84" i="9"/>
  <c r="AC53" i="9"/>
  <c r="AJ84" i="9"/>
  <c r="H99" i="9"/>
  <c r="I99" i="9"/>
  <c r="L99" i="9"/>
  <c r="P99" i="9"/>
  <c r="AB99" i="9"/>
  <c r="AG83" i="9"/>
  <c r="AG86" i="9"/>
  <c r="Y53" i="9"/>
  <c r="AE53" i="9"/>
  <c r="C99" i="9"/>
  <c r="AK83" i="9"/>
  <c r="AK86" i="9"/>
  <c r="AE99" i="9"/>
  <c r="B20" i="9"/>
  <c r="AD81" i="9"/>
  <c r="B53" i="9"/>
  <c r="AF83" i="9"/>
  <c r="AH84" i="9"/>
  <c r="AG84" i="9"/>
  <c r="AB20" i="9"/>
  <c r="AB83" i="9"/>
  <c r="AB86" i="9"/>
  <c r="C53" i="9"/>
  <c r="C84" i="9"/>
  <c r="B4" i="6"/>
  <c r="D4" i="6"/>
  <c r="B26" i="1"/>
  <c r="D26" i="1"/>
  <c r="B51" i="5"/>
  <c r="F34" i="5"/>
  <c r="C49" i="5"/>
  <c r="G33" i="5"/>
  <c r="B28" i="5"/>
  <c r="G10" i="5"/>
  <c r="I32" i="5"/>
  <c r="G44" i="5"/>
  <c r="G32" i="5"/>
  <c r="D24" i="5"/>
  <c r="G9" i="5"/>
  <c r="I31" i="5"/>
  <c r="L37" i="7"/>
  <c r="N37" i="7"/>
  <c r="L207" i="7"/>
  <c r="N207" i="7"/>
  <c r="L180" i="7"/>
  <c r="N180" i="7"/>
  <c r="J34" i="5"/>
  <c r="D62" i="9"/>
  <c r="E62" i="9"/>
  <c r="E47" i="5"/>
  <c r="B12" i="1"/>
  <c r="D12" i="1"/>
  <c r="G42" i="5"/>
  <c r="D34" i="5"/>
  <c r="D31" i="5"/>
  <c r="B43" i="5"/>
  <c r="E6" i="5"/>
  <c r="E10" i="5"/>
  <c r="F4" i="5"/>
  <c r="D11" i="5"/>
  <c r="M54" i="2"/>
  <c r="C4" i="1"/>
  <c r="K62" i="2"/>
  <c r="I62" i="2"/>
  <c r="M62" i="2"/>
  <c r="F62" i="9"/>
  <c r="F66" i="9"/>
  <c r="D66" i="9"/>
  <c r="N30" i="9"/>
  <c r="D29" i="9"/>
  <c r="C18" i="1"/>
  <c r="I58" i="2"/>
  <c r="M58" i="2"/>
  <c r="E10" i="1"/>
  <c r="K58" i="2"/>
  <c r="L58" i="2"/>
  <c r="E43" i="5"/>
  <c r="E42" i="5"/>
  <c r="E41" i="5"/>
  <c r="G15" i="5"/>
  <c r="K23" i="5"/>
  <c r="J25" i="5"/>
  <c r="J24" i="5"/>
  <c r="J26" i="5"/>
  <c r="E13" i="5"/>
  <c r="E17" i="5"/>
  <c r="E12" i="5"/>
  <c r="N33" i="9"/>
  <c r="E44" i="5"/>
  <c r="D5" i="5"/>
  <c r="J5" i="5"/>
  <c r="D6" i="5"/>
  <c r="D4" i="5"/>
  <c r="I4" i="5"/>
  <c r="B69" i="9"/>
  <c r="S63" i="9"/>
  <c r="T63" i="9"/>
  <c r="H21" i="5"/>
  <c r="G47" i="5"/>
  <c r="E45" i="5"/>
  <c r="Z64" i="9"/>
  <c r="F5" i="5"/>
  <c r="F6" i="5"/>
  <c r="F9" i="5"/>
  <c r="D25" i="10"/>
  <c r="D30" i="10"/>
  <c r="G49" i="5"/>
  <c r="G51" i="5"/>
  <c r="D39" i="5"/>
  <c r="F39" i="5"/>
  <c r="D10" i="5"/>
  <c r="I6" i="5"/>
  <c r="J6" i="5"/>
  <c r="D37" i="4"/>
  <c r="F37" i="4"/>
  <c r="I46" i="4"/>
  <c r="E6" i="4"/>
  <c r="G6" i="4"/>
  <c r="H6" i="4"/>
  <c r="J6" i="4"/>
  <c r="K6" i="4"/>
  <c r="D25" i="1"/>
  <c r="D29" i="1"/>
  <c r="D34" i="4"/>
  <c r="F34" i="4"/>
  <c r="F49" i="4"/>
  <c r="F54" i="4"/>
  <c r="I35" i="4"/>
  <c r="H8" i="4"/>
  <c r="J8" i="4"/>
  <c r="G8" i="1"/>
  <c r="F55" i="4"/>
  <c r="G11" i="4"/>
  <c r="H11" i="4"/>
  <c r="J11" i="4"/>
  <c r="K41" i="2"/>
  <c r="D4" i="9"/>
  <c r="C4" i="6"/>
  <c r="G52" i="4"/>
  <c r="I52" i="4"/>
  <c r="G54" i="4"/>
  <c r="I54" i="4"/>
  <c r="D41" i="4"/>
  <c r="F41" i="4"/>
  <c r="G49" i="4"/>
  <c r="I49" i="4"/>
  <c r="D48" i="4"/>
  <c r="I34" i="4"/>
  <c r="J47" i="4"/>
  <c r="G50" i="4"/>
  <c r="I50" i="4"/>
  <c r="F50" i="4"/>
  <c r="G5" i="4"/>
  <c r="H5" i="4"/>
  <c r="J5" i="4"/>
  <c r="G5" i="1"/>
  <c r="G10" i="4"/>
  <c r="H10" i="4"/>
  <c r="J10" i="4"/>
  <c r="E7" i="4"/>
  <c r="G7" i="4"/>
  <c r="H7" i="4"/>
  <c r="J7" i="4"/>
  <c r="F48" i="4"/>
  <c r="D55" i="4"/>
  <c r="G9" i="4"/>
  <c r="H9" i="4"/>
  <c r="J9" i="4"/>
  <c r="AA31" i="9"/>
  <c r="Z33" i="9"/>
  <c r="K42" i="2"/>
  <c r="K46" i="4"/>
  <c r="D37" i="9"/>
  <c r="G7" i="1"/>
  <c r="C8" i="6"/>
  <c r="K8" i="4"/>
  <c r="K45" i="2"/>
  <c r="K41" i="9"/>
  <c r="T41" i="9"/>
  <c r="B30" i="11"/>
  <c r="T66" i="9"/>
  <c r="Z66" i="9"/>
  <c r="AA64" i="9"/>
  <c r="Z97" i="9"/>
  <c r="J4" i="5"/>
  <c r="B50" i="5"/>
  <c r="B33" i="5"/>
  <c r="G16" i="5"/>
  <c r="G17" i="5"/>
  <c r="G14" i="5"/>
  <c r="F31" i="5"/>
  <c r="H31" i="5"/>
  <c r="F32" i="5"/>
  <c r="F33" i="5"/>
  <c r="H33" i="5"/>
  <c r="AL31" i="9"/>
  <c r="AA33" i="9"/>
  <c r="F29" i="9"/>
  <c r="D95" i="9"/>
  <c r="D12" i="5"/>
  <c r="D13" i="5"/>
  <c r="D15" i="5"/>
  <c r="D14" i="5"/>
  <c r="I14" i="5"/>
  <c r="B39" i="5"/>
  <c r="B48" i="5"/>
  <c r="B31" i="5"/>
  <c r="M55" i="2"/>
  <c r="C5" i="1"/>
  <c r="E19" i="1"/>
  <c r="B21" i="11"/>
  <c r="D21" i="11"/>
  <c r="O55" i="2"/>
  <c r="AL57" i="9"/>
  <c r="C23" i="11"/>
  <c r="D23" i="11"/>
  <c r="G48" i="4"/>
  <c r="I48" i="4"/>
  <c r="G47" i="4"/>
  <c r="I47" i="4"/>
  <c r="G55" i="4"/>
  <c r="I55" i="4"/>
  <c r="G51" i="4"/>
  <c r="I51" i="4"/>
  <c r="G53" i="4"/>
  <c r="I53" i="4"/>
  <c r="F11" i="5"/>
  <c r="F13" i="5"/>
  <c r="F12" i="5"/>
  <c r="E28" i="5"/>
  <c r="E24" i="1"/>
  <c r="F24" i="5"/>
  <c r="H24" i="5"/>
  <c r="F25" i="5"/>
  <c r="H25" i="5"/>
  <c r="K68" i="2"/>
  <c r="B23" i="10"/>
  <c r="H19" i="10"/>
  <c r="B5" i="6"/>
  <c r="B10" i="6"/>
  <c r="K72" i="2"/>
  <c r="K73" i="2"/>
  <c r="K75" i="2"/>
  <c r="H10" i="10"/>
  <c r="B6" i="6"/>
  <c r="B11" i="6"/>
  <c r="K66" i="2"/>
  <c r="H14" i="10"/>
  <c r="K71" i="2"/>
  <c r="H17" i="10"/>
  <c r="B9" i="6"/>
  <c r="G3" i="11"/>
  <c r="G5" i="11"/>
  <c r="G6" i="11"/>
  <c r="O54" i="2"/>
  <c r="G7" i="5"/>
  <c r="B47" i="5"/>
  <c r="E46" i="5"/>
  <c r="G46" i="5"/>
  <c r="E4" i="1"/>
  <c r="B29" i="5"/>
  <c r="B30" i="5"/>
  <c r="B45" i="5"/>
  <c r="D32" i="5"/>
  <c r="D33" i="5"/>
  <c r="H4" i="5"/>
  <c r="K4" i="5"/>
  <c r="E5" i="5"/>
  <c r="H5" i="5"/>
  <c r="J80" i="2"/>
  <c r="H16" i="10"/>
  <c r="L45" i="2"/>
  <c r="M8" i="4"/>
  <c r="H5" i="10"/>
  <c r="F15" i="5"/>
  <c r="I15" i="5"/>
  <c r="F14" i="5"/>
  <c r="F16" i="5"/>
  <c r="F17" i="5"/>
  <c r="H4" i="10"/>
  <c r="D16" i="5"/>
  <c r="D19" i="1"/>
  <c r="D5" i="1"/>
  <c r="D18" i="1"/>
  <c r="D4" i="1"/>
  <c r="D8" i="1"/>
  <c r="H7" i="10"/>
  <c r="H20" i="10"/>
  <c r="H28" i="10"/>
  <c r="C37" i="11"/>
  <c r="C19" i="1"/>
  <c r="Z99" i="9"/>
  <c r="Z101" i="9"/>
  <c r="AA101" i="9"/>
  <c r="W41" i="9"/>
  <c r="S41" i="9"/>
  <c r="X41" i="9"/>
  <c r="X48" i="9"/>
  <c r="D22" i="1"/>
  <c r="D49" i="5"/>
  <c r="D48" i="5"/>
  <c r="C33" i="5"/>
  <c r="E33" i="5"/>
  <c r="C31" i="5"/>
  <c r="E31" i="5"/>
  <c r="C32" i="5"/>
  <c r="E32" i="5"/>
  <c r="C34" i="5"/>
  <c r="E34" i="5"/>
  <c r="I16" i="5"/>
  <c r="D47" i="5"/>
  <c r="F47" i="5"/>
  <c r="J13" i="5"/>
  <c r="I27" i="5"/>
  <c r="K27" i="5"/>
  <c r="B40" i="5"/>
  <c r="C41" i="5"/>
  <c r="F10" i="5"/>
  <c r="E23" i="5"/>
  <c r="I24" i="5"/>
  <c r="K24" i="5"/>
  <c r="C25" i="5"/>
  <c r="C26" i="5"/>
  <c r="E26" i="5"/>
  <c r="E21" i="5"/>
  <c r="J15" i="5"/>
  <c r="D17" i="5"/>
  <c r="F27" i="5"/>
  <c r="E48" i="5"/>
  <c r="B23" i="5"/>
  <c r="B38" i="5"/>
  <c r="C43" i="5"/>
  <c r="F8" i="5"/>
  <c r="C42" i="5"/>
  <c r="H23" i="5"/>
  <c r="C24" i="5"/>
  <c r="E24" i="5"/>
  <c r="G26" i="5"/>
  <c r="H26" i="5"/>
  <c r="B49" i="5"/>
  <c r="G25" i="5"/>
  <c r="I13" i="5"/>
  <c r="H13" i="5"/>
  <c r="I26" i="5"/>
  <c r="K26" i="5"/>
  <c r="E50" i="5"/>
  <c r="B22" i="5"/>
  <c r="D40" i="5"/>
  <c r="F40" i="5"/>
  <c r="F7" i="5"/>
  <c r="E22" i="5"/>
  <c r="G27" i="5"/>
  <c r="D26" i="5"/>
  <c r="L227" i="7"/>
  <c r="N227" i="7"/>
  <c r="L41" i="7"/>
  <c r="N41" i="7"/>
  <c r="L188" i="7"/>
  <c r="N188" i="7"/>
  <c r="L141" i="7"/>
  <c r="N141" i="7"/>
  <c r="L118" i="7"/>
  <c r="N118" i="7"/>
  <c r="L28" i="7"/>
  <c r="N28" i="7"/>
  <c r="L240" i="7"/>
  <c r="L221" i="7"/>
  <c r="N221" i="7"/>
  <c r="L84" i="7"/>
  <c r="N84" i="7"/>
  <c r="L155" i="7"/>
  <c r="N155" i="7"/>
  <c r="L214" i="7"/>
  <c r="N214" i="7"/>
  <c r="L137" i="7"/>
  <c r="N137" i="7"/>
  <c r="L208" i="7"/>
  <c r="N208" i="7"/>
  <c r="L125" i="7"/>
  <c r="N125" i="7"/>
  <c r="L151" i="7"/>
  <c r="N151" i="7"/>
  <c r="L230" i="7"/>
  <c r="N230" i="7"/>
  <c r="L235" i="7"/>
  <c r="N235" i="7"/>
  <c r="L194" i="7"/>
  <c r="N194" i="7"/>
  <c r="L102" i="7"/>
  <c r="N102" i="7"/>
  <c r="L25" i="7"/>
  <c r="N25" i="7"/>
  <c r="L92" i="7"/>
  <c r="N92" i="7"/>
  <c r="L112" i="7"/>
  <c r="N112" i="7"/>
  <c r="L13" i="7"/>
  <c r="N13" i="7"/>
  <c r="L217" i="7"/>
  <c r="N217" i="7"/>
  <c r="L8" i="7"/>
  <c r="N8" i="7"/>
  <c r="L20" i="7"/>
  <c r="N20" i="7"/>
  <c r="L101" i="7"/>
  <c r="N101" i="7"/>
  <c r="L225" i="7"/>
  <c r="N225" i="7"/>
  <c r="L152" i="7"/>
  <c r="N152" i="7"/>
  <c r="L202" i="7"/>
  <c r="N202" i="7"/>
  <c r="L159" i="7"/>
  <c r="N159" i="7"/>
  <c r="L242" i="7"/>
  <c r="M27" i="2"/>
  <c r="L98" i="7"/>
  <c r="N98" i="7"/>
  <c r="L53" i="7"/>
  <c r="N53" i="7"/>
  <c r="L153" i="7"/>
  <c r="N153" i="7"/>
  <c r="L15" i="7"/>
  <c r="N15" i="7"/>
  <c r="L216" i="7"/>
  <c r="N216" i="7"/>
  <c r="L18" i="7"/>
  <c r="N18" i="7"/>
  <c r="L99" i="7"/>
  <c r="N99" i="7"/>
  <c r="L22" i="7"/>
  <c r="N22" i="7"/>
  <c r="L166" i="7"/>
  <c r="N166" i="7"/>
  <c r="L213" i="7"/>
  <c r="N213" i="7"/>
  <c r="L211" i="7"/>
  <c r="N211" i="7"/>
  <c r="L157" i="7"/>
  <c r="N157" i="7"/>
  <c r="L145" i="7"/>
  <c r="N145" i="7"/>
  <c r="L56" i="7"/>
  <c r="N56" i="7"/>
  <c r="L117" i="7"/>
  <c r="N117" i="7"/>
  <c r="L224" i="7"/>
  <c r="N224" i="7"/>
  <c r="L38" i="7"/>
  <c r="N38" i="7"/>
  <c r="L171" i="7"/>
  <c r="N171" i="7"/>
  <c r="L223" i="7"/>
  <c r="N223" i="7"/>
  <c r="L107" i="7"/>
  <c r="N107" i="7"/>
  <c r="L49" i="7"/>
  <c r="N49" i="7"/>
  <c r="L21" i="7"/>
  <c r="N21" i="7"/>
  <c r="L193" i="7"/>
  <c r="N193" i="7"/>
  <c r="L50" i="7"/>
  <c r="N50" i="7"/>
  <c r="L90" i="7"/>
  <c r="N90" i="7"/>
  <c r="L150" i="7"/>
  <c r="N150" i="7"/>
  <c r="L48" i="7"/>
  <c r="N48" i="7"/>
  <c r="L205" i="7"/>
  <c r="N205" i="7"/>
  <c r="L104" i="7"/>
  <c r="N104" i="7"/>
  <c r="L119" i="7"/>
  <c r="N119" i="7"/>
  <c r="L185" i="7"/>
  <c r="N185" i="7"/>
  <c r="L42" i="7"/>
  <c r="N42" i="7"/>
  <c r="L232" i="7"/>
  <c r="N232" i="7"/>
  <c r="L148" i="7"/>
  <c r="N148" i="7"/>
  <c r="L24" i="7"/>
  <c r="N24" i="7"/>
  <c r="L164" i="7"/>
  <c r="N164" i="7"/>
  <c r="L32" i="7"/>
  <c r="N32" i="7"/>
  <c r="L6" i="7"/>
  <c r="N6" i="7"/>
  <c r="L63" i="7"/>
  <c r="N63" i="7"/>
  <c r="L168" i="7"/>
  <c r="N168" i="7"/>
  <c r="L204" i="7"/>
  <c r="N204" i="7"/>
  <c r="L65" i="7"/>
  <c r="N65" i="7"/>
  <c r="L73" i="7"/>
  <c r="N73" i="7"/>
  <c r="L156" i="7"/>
  <c r="N156" i="7"/>
  <c r="L154" i="7"/>
  <c r="N154" i="7"/>
  <c r="L71" i="7"/>
  <c r="N71" i="7"/>
  <c r="L192" i="7"/>
  <c r="N192" i="7"/>
  <c r="L178" i="7"/>
  <c r="N178" i="7"/>
  <c r="L243" i="7"/>
  <c r="L142" i="7"/>
  <c r="N142" i="7"/>
  <c r="L96" i="7"/>
  <c r="N96" i="7"/>
  <c r="L108" i="7"/>
  <c r="N108" i="7"/>
  <c r="L121" i="7"/>
  <c r="N121" i="7"/>
  <c r="L215" i="7"/>
  <c r="N215" i="7"/>
  <c r="L68" i="7"/>
  <c r="L134" i="7"/>
  <c r="N134" i="7"/>
  <c r="L201" i="7"/>
  <c r="N201" i="7"/>
  <c r="L206" i="7"/>
  <c r="N206" i="7"/>
  <c r="L103" i="7"/>
  <c r="N103" i="7"/>
  <c r="L189" i="7"/>
  <c r="N189" i="7"/>
  <c r="L110" i="7"/>
  <c r="N110" i="7"/>
  <c r="L140" i="7"/>
  <c r="N140" i="7"/>
  <c r="L173" i="7"/>
  <c r="N173" i="7"/>
  <c r="L184" i="7"/>
  <c r="N184" i="7"/>
  <c r="L218" i="7"/>
  <c r="N218" i="7"/>
  <c r="L14" i="7"/>
  <c r="N14" i="7"/>
  <c r="L233" i="7"/>
  <c r="N233" i="7"/>
  <c r="L190" i="7"/>
  <c r="N190" i="7"/>
  <c r="L79" i="7"/>
  <c r="N79" i="7"/>
  <c r="L29" i="7"/>
  <c r="N29" i="7"/>
  <c r="L61" i="7"/>
  <c r="N61" i="7"/>
  <c r="L231" i="7"/>
  <c r="N231" i="7"/>
  <c r="L172" i="7"/>
  <c r="N172" i="7"/>
  <c r="L106" i="7"/>
  <c r="N106" i="7"/>
  <c r="L95" i="7"/>
  <c r="N95" i="7"/>
  <c r="L133" i="7"/>
  <c r="L35" i="7"/>
  <c r="N35" i="7"/>
  <c r="L228" i="7"/>
  <c r="N228" i="7"/>
  <c r="L136" i="7"/>
  <c r="N136" i="7"/>
  <c r="L105" i="7"/>
  <c r="N105" i="7"/>
  <c r="L161" i="7"/>
  <c r="N161" i="7"/>
  <c r="L132" i="7"/>
  <c r="N132" i="7"/>
  <c r="L81" i="7"/>
  <c r="N81" i="7"/>
  <c r="L128" i="7"/>
  <c r="L16" i="7"/>
  <c r="N16" i="7"/>
  <c r="L120" i="7"/>
  <c r="N120" i="7"/>
  <c r="L62" i="7"/>
  <c r="N62" i="7"/>
  <c r="L88" i="7"/>
  <c r="N88" i="7"/>
  <c r="L11" i="7"/>
  <c r="N11" i="7"/>
  <c r="L44" i="7"/>
  <c r="N44" i="7"/>
  <c r="L82" i="7"/>
  <c r="N82" i="7"/>
  <c r="L52" i="7"/>
  <c r="N52" i="7"/>
  <c r="L94" i="7"/>
  <c r="N94" i="7"/>
  <c r="L212" i="7"/>
  <c r="N212" i="7"/>
  <c r="L116" i="7"/>
  <c r="N116" i="7"/>
  <c r="L158" i="7"/>
  <c r="N158" i="7"/>
  <c r="L149" i="7"/>
  <c r="N149" i="7"/>
  <c r="L70" i="7"/>
  <c r="N70" i="7"/>
  <c r="L31" i="7"/>
  <c r="N31" i="7"/>
  <c r="L12" i="7"/>
  <c r="N12" i="7"/>
  <c r="L33" i="7"/>
  <c r="N33" i="7"/>
  <c r="L220" i="7"/>
  <c r="N220" i="7"/>
  <c r="L113" i="7"/>
  <c r="N113" i="7"/>
  <c r="L9" i="7"/>
  <c r="N9" i="7"/>
  <c r="L93" i="7"/>
  <c r="N93" i="7"/>
  <c r="L165" i="7"/>
  <c r="N165" i="7"/>
  <c r="L47" i="7"/>
  <c r="N47" i="7"/>
  <c r="L182" i="7"/>
  <c r="N182" i="7"/>
  <c r="L45" i="7"/>
  <c r="N45" i="7"/>
  <c r="L43" i="7"/>
  <c r="N43" i="7"/>
  <c r="L129" i="7"/>
  <c r="N129" i="7"/>
  <c r="L175" i="7"/>
  <c r="N175" i="7"/>
  <c r="L115" i="7"/>
  <c r="N115" i="7"/>
  <c r="L126" i="7"/>
  <c r="N126" i="7"/>
  <c r="L85" i="7"/>
  <c r="N85" i="7"/>
  <c r="L176" i="7"/>
  <c r="N176" i="7"/>
  <c r="L197" i="7"/>
  <c r="N197" i="7"/>
  <c r="L46" i="7"/>
  <c r="N46" i="7"/>
  <c r="L138" i="7"/>
  <c r="N138" i="7"/>
  <c r="L127" i="7"/>
  <c r="N127" i="7"/>
  <c r="L60" i="7"/>
  <c r="N60" i="7"/>
  <c r="L122" i="7"/>
  <c r="N122" i="7"/>
  <c r="L181" i="7"/>
  <c r="N181" i="7"/>
  <c r="L196" i="7"/>
  <c r="N196" i="7"/>
  <c r="L67" i="7"/>
  <c r="N67" i="7"/>
  <c r="L54" i="7"/>
  <c r="N54" i="7"/>
  <c r="L86" i="7"/>
  <c r="N86" i="7"/>
  <c r="L87" i="7"/>
  <c r="N87" i="7"/>
  <c r="L195" i="7"/>
  <c r="N195" i="7"/>
  <c r="L19" i="7"/>
  <c r="N19" i="7"/>
  <c r="L229" i="7"/>
  <c r="N229" i="7"/>
  <c r="L234" i="7"/>
  <c r="N234" i="7"/>
  <c r="L203" i="7"/>
  <c r="N203" i="7"/>
  <c r="L40" i="7"/>
  <c r="N40" i="7"/>
  <c r="L26" i="7"/>
  <c r="N26" i="7"/>
  <c r="L139" i="7"/>
  <c r="N139" i="7"/>
  <c r="L174" i="7"/>
  <c r="N174" i="7"/>
  <c r="L77" i="7"/>
  <c r="N77" i="7"/>
  <c r="L183" i="7"/>
  <c r="N183" i="7"/>
  <c r="L36" i="7"/>
  <c r="N36" i="7"/>
  <c r="L27" i="7"/>
  <c r="N27" i="7"/>
  <c r="L66" i="7"/>
  <c r="N66" i="7"/>
  <c r="L109" i="7"/>
  <c r="N109" i="7"/>
  <c r="L55" i="7"/>
  <c r="N55" i="7"/>
  <c r="L75" i="7"/>
  <c r="N75" i="7"/>
  <c r="L83" i="7"/>
  <c r="N83" i="7"/>
  <c r="L51" i="7"/>
  <c r="N51" i="7"/>
  <c r="L91" i="7"/>
  <c r="N91" i="7"/>
  <c r="L160" i="7"/>
  <c r="N160" i="7"/>
  <c r="L76" i="7"/>
  <c r="N76" i="7"/>
  <c r="L114" i="7"/>
  <c r="N114" i="7"/>
  <c r="L147" i="7"/>
  <c r="N147" i="7"/>
  <c r="L39" i="7"/>
  <c r="N39" i="7"/>
  <c r="L17" i="7"/>
  <c r="N17" i="7"/>
  <c r="L163" i="7"/>
  <c r="N163" i="7"/>
  <c r="L162" i="7"/>
  <c r="N162" i="7"/>
  <c r="L124" i="7"/>
  <c r="N124" i="7"/>
  <c r="L57" i="7"/>
  <c r="N57" i="7"/>
  <c r="L143" i="7"/>
  <c r="N143" i="7"/>
  <c r="L210" i="7"/>
  <c r="N210" i="7"/>
  <c r="L23" i="7"/>
  <c r="N23" i="7"/>
  <c r="L179" i="7"/>
  <c r="N179" i="7"/>
  <c r="L199" i="7"/>
  <c r="N199" i="7"/>
  <c r="L167" i="7"/>
  <c r="N167" i="7"/>
  <c r="L219" i="7"/>
  <c r="N219" i="7"/>
  <c r="L144" i="7"/>
  <c r="N144" i="7"/>
  <c r="L226" i="7"/>
  <c r="N226" i="7"/>
  <c r="L170" i="7"/>
  <c r="N170" i="7"/>
  <c r="L241" i="7"/>
  <c r="L69" i="7"/>
  <c r="N69" i="7"/>
  <c r="L191" i="7"/>
  <c r="N191" i="7"/>
  <c r="L123" i="7"/>
  <c r="N123" i="7"/>
  <c r="L131" i="7"/>
  <c r="N131" i="7"/>
  <c r="L97" i="7"/>
  <c r="N97" i="7"/>
  <c r="L130" i="7"/>
  <c r="N130" i="7"/>
  <c r="L200" i="7"/>
  <c r="N200" i="7"/>
  <c r="L5" i="7"/>
  <c r="N5" i="7"/>
  <c r="L74" i="7"/>
  <c r="N74" i="7"/>
  <c r="L4" i="7"/>
  <c r="N4" i="7"/>
  <c r="L222" i="7"/>
  <c r="N222" i="7"/>
  <c r="L80" i="7"/>
  <c r="N80" i="7"/>
  <c r="L7" i="7"/>
  <c r="N7" i="7"/>
  <c r="F48" i="5"/>
  <c r="C49" i="2"/>
  <c r="E49" i="2"/>
  <c r="N128" i="7"/>
  <c r="C46" i="2"/>
  <c r="E46" i="2"/>
  <c r="N133" i="7"/>
  <c r="N68" i="7"/>
  <c r="C43" i="2"/>
  <c r="E43" i="2"/>
  <c r="C48" i="2"/>
  <c r="E48" i="2"/>
  <c r="N242" i="7"/>
  <c r="N241" i="7"/>
  <c r="C47" i="2"/>
  <c r="E47" i="2"/>
  <c r="N240" i="7"/>
  <c r="C41" i="2"/>
  <c r="E41" i="2"/>
  <c r="I42" i="2"/>
  <c r="K47" i="4"/>
  <c r="F49" i="5"/>
  <c r="T74" i="9"/>
  <c r="L43" i="2"/>
  <c r="M6" i="4"/>
  <c r="W48" i="9"/>
  <c r="W74" i="9"/>
  <c r="D7" i="15"/>
  <c r="E8" i="6"/>
  <c r="N45" i="2"/>
  <c r="C50" i="2"/>
  <c r="E50" i="2"/>
  <c r="C42" i="2"/>
  <c r="E42" i="2"/>
  <c r="N243" i="7"/>
  <c r="K48" i="2"/>
  <c r="C11" i="6"/>
  <c r="G11" i="1"/>
  <c r="I18" i="1"/>
  <c r="I4" i="1"/>
  <c r="K50" i="4"/>
  <c r="L50" i="4"/>
  <c r="I45" i="2"/>
  <c r="B19" i="1"/>
  <c r="AL24" i="9"/>
  <c r="AL90" i="9"/>
  <c r="B5" i="1"/>
  <c r="H25" i="10"/>
  <c r="H38" i="5"/>
  <c r="D51" i="5"/>
  <c r="D11" i="6"/>
  <c r="W51" i="9"/>
  <c r="D46" i="5"/>
  <c r="F46" i="5"/>
  <c r="H12" i="5"/>
  <c r="I12" i="5"/>
  <c r="J12" i="5"/>
  <c r="P41" i="9"/>
  <c r="O41" i="9"/>
  <c r="K74" i="9"/>
  <c r="L41" i="9"/>
  <c r="L41" i="2"/>
  <c r="B60" i="4"/>
  <c r="M4" i="4"/>
  <c r="K13" i="5"/>
  <c r="H40" i="5"/>
  <c r="D10" i="6"/>
  <c r="C86" i="9"/>
  <c r="C45" i="2"/>
  <c r="E45" i="2"/>
  <c r="C44" i="2"/>
  <c r="E44" i="2"/>
  <c r="D33" i="1"/>
  <c r="K47" i="2"/>
  <c r="G10" i="1"/>
  <c r="C10" i="6"/>
  <c r="K10" i="4"/>
  <c r="G6" i="1"/>
  <c r="K43" i="2"/>
  <c r="C6" i="6"/>
  <c r="D6" i="6"/>
  <c r="AA99" i="9"/>
  <c r="X51" i="9"/>
  <c r="X74" i="9"/>
  <c r="K38" i="5"/>
  <c r="B55" i="5"/>
  <c r="AL64" i="9"/>
  <c r="AA66" i="9"/>
  <c r="AA97" i="9"/>
  <c r="H27" i="5"/>
  <c r="S74" i="9"/>
  <c r="D50" i="9"/>
  <c r="D48" i="9"/>
  <c r="E37" i="9"/>
  <c r="L62" i="2"/>
  <c r="K13" i="4"/>
  <c r="K12" i="4"/>
  <c r="R26" i="3"/>
  <c r="T26" i="3"/>
  <c r="K9" i="4"/>
  <c r="K46" i="2"/>
  <c r="G9" i="1"/>
  <c r="C9" i="6"/>
  <c r="D9" i="6"/>
  <c r="J11" i="5"/>
  <c r="D45" i="5"/>
  <c r="F45" i="5"/>
  <c r="H11" i="5"/>
  <c r="K11" i="5"/>
  <c r="I11" i="5"/>
  <c r="AC83" i="9"/>
  <c r="AC86" i="9"/>
  <c r="AC20" i="9"/>
  <c r="D99" i="9"/>
  <c r="D101" i="9"/>
  <c r="E101" i="9"/>
  <c r="F101" i="9"/>
  <c r="E25" i="5"/>
  <c r="J16" i="5"/>
  <c r="F95" i="9"/>
  <c r="F99" i="9"/>
  <c r="F33" i="9"/>
  <c r="K7" i="4"/>
  <c r="K44" i="2"/>
  <c r="K7" i="9"/>
  <c r="C7" i="6"/>
  <c r="D7" i="6"/>
  <c r="B24" i="5"/>
  <c r="B41" i="5"/>
  <c r="D70" i="9"/>
  <c r="D17" i="9"/>
  <c r="E4" i="9"/>
  <c r="D15" i="9"/>
  <c r="E26" i="1"/>
  <c r="E12" i="1"/>
  <c r="C27" i="11"/>
  <c r="D27" i="11"/>
  <c r="E66" i="9"/>
  <c r="AL62" i="9"/>
  <c r="F53" i="4"/>
  <c r="J53" i="4"/>
  <c r="D31" i="10"/>
  <c r="H9" i="10"/>
  <c r="H8" i="10"/>
  <c r="H27" i="10"/>
  <c r="C36" i="11"/>
  <c r="H18" i="10"/>
  <c r="D38" i="5"/>
  <c r="F38" i="5"/>
  <c r="J54" i="4"/>
  <c r="T18" i="3"/>
  <c r="D8" i="6"/>
  <c r="AH81" i="9"/>
  <c r="N198" i="7"/>
  <c r="D33" i="9"/>
  <c r="AL29" i="9"/>
  <c r="J32" i="5"/>
  <c r="K32" i="5"/>
  <c r="J31" i="5"/>
  <c r="K31" i="5"/>
  <c r="J33" i="5"/>
  <c r="K30" i="5"/>
  <c r="C5" i="6"/>
  <c r="D5" i="6"/>
  <c r="D9" i="5"/>
  <c r="D7" i="5"/>
  <c r="H6" i="5"/>
  <c r="K6" i="5"/>
  <c r="K40" i="5"/>
  <c r="B57" i="5"/>
  <c r="D8" i="5"/>
  <c r="O30" i="9"/>
  <c r="T30" i="9"/>
  <c r="N96" i="9"/>
  <c r="J55" i="4"/>
  <c r="E19" i="4"/>
  <c r="L30" i="7"/>
  <c r="N30" i="7"/>
  <c r="L59" i="7"/>
  <c r="N59" i="7"/>
  <c r="L89" i="7"/>
  <c r="N89" i="7"/>
  <c r="L198" i="7"/>
  <c r="L58" i="7"/>
  <c r="N58" i="7"/>
  <c r="L10" i="7"/>
  <c r="N10" i="7"/>
  <c r="L72" i="7"/>
  <c r="N72" i="7"/>
  <c r="L64" i="7"/>
  <c r="N64" i="7"/>
  <c r="L135" i="7"/>
  <c r="N135" i="7"/>
  <c r="L187" i="7"/>
  <c r="N187" i="7"/>
  <c r="L169" i="7"/>
  <c r="N169" i="7"/>
  <c r="L78" i="7"/>
  <c r="N78" i="7"/>
  <c r="L34" i="7"/>
  <c r="N34" i="7"/>
  <c r="L146" i="7"/>
  <c r="N146" i="7"/>
  <c r="L209" i="7"/>
  <c r="N209" i="7"/>
  <c r="L186" i="7"/>
  <c r="N186" i="7"/>
  <c r="L177" i="7"/>
  <c r="N177" i="7"/>
  <c r="T20" i="3"/>
  <c r="D44" i="5"/>
  <c r="F44" i="5"/>
  <c r="M39" i="3"/>
  <c r="U39" i="3"/>
  <c r="H32" i="5"/>
  <c r="E15" i="5"/>
  <c r="T7" i="3"/>
  <c r="U7" i="3"/>
  <c r="U25" i="3"/>
  <c r="AG81" i="9"/>
  <c r="M18" i="3"/>
  <c r="J14" i="5"/>
  <c r="H15" i="5"/>
  <c r="K15" i="5"/>
  <c r="E49" i="5"/>
  <c r="E51" i="5"/>
  <c r="L111" i="7"/>
  <c r="N111" i="7"/>
  <c r="M19" i="3"/>
  <c r="U19" i="3"/>
  <c r="E5" i="9"/>
  <c r="E38" i="9"/>
  <c r="E16" i="5"/>
  <c r="H16" i="5"/>
  <c r="E14" i="5"/>
  <c r="H14" i="5"/>
  <c r="K14" i="5"/>
  <c r="E29" i="9"/>
  <c r="S66" i="9"/>
  <c r="S30" i="9"/>
  <c r="L100" i="7"/>
  <c r="N100" i="7"/>
  <c r="U6" i="3"/>
  <c r="T30" i="3"/>
  <c r="U30" i="3"/>
  <c r="D44" i="2"/>
  <c r="F51" i="4"/>
  <c r="J51" i="4"/>
  <c r="U14" i="3"/>
  <c r="M35" i="3"/>
  <c r="AL97" i="9"/>
  <c r="M12" i="3"/>
  <c r="U12" i="3"/>
  <c r="U26" i="3"/>
  <c r="U29" i="3"/>
  <c r="AE20" i="9"/>
  <c r="AE83" i="9"/>
  <c r="AE86" i="9"/>
  <c r="E7" i="5"/>
  <c r="E8" i="5"/>
  <c r="E9" i="5"/>
  <c r="AJ86" i="9"/>
  <c r="U8" i="3"/>
  <c r="C20" i="2"/>
  <c r="E20" i="2"/>
  <c r="U41" i="3"/>
  <c r="T42" i="3"/>
  <c r="U42" i="3"/>
  <c r="B42" i="5"/>
  <c r="B25" i="5"/>
  <c r="H83" i="9"/>
  <c r="H86" i="9"/>
  <c r="I61" i="2"/>
  <c r="M61" i="2"/>
  <c r="K61" i="2"/>
  <c r="L61" i="2"/>
  <c r="D11" i="1"/>
  <c r="AI81" i="9"/>
  <c r="T9" i="3"/>
  <c r="T35" i="3"/>
  <c r="B44" i="5"/>
  <c r="B27" i="5"/>
  <c r="AI20" i="9"/>
  <c r="M43" i="3"/>
  <c r="U43" i="3"/>
  <c r="I5" i="5"/>
  <c r="K5" i="5"/>
  <c r="K39" i="5"/>
  <c r="B56" i="5"/>
  <c r="AD86" i="9"/>
  <c r="AK20" i="9"/>
  <c r="AF84" i="9"/>
  <c r="AF86" i="9"/>
  <c r="H15" i="10"/>
  <c r="G50" i="5"/>
  <c r="G48" i="5"/>
  <c r="J49" i="4"/>
  <c r="T10" i="3"/>
  <c r="U10" i="3"/>
  <c r="U15" i="3"/>
  <c r="H6" i="10"/>
  <c r="H12" i="10"/>
  <c r="AB53" i="9"/>
  <c r="M16" i="3"/>
  <c r="U16" i="3"/>
  <c r="U28" i="3"/>
  <c r="T15" i="3"/>
  <c r="D49" i="4"/>
  <c r="K25" i="5"/>
  <c r="AK81" i="9"/>
  <c r="M22" i="3"/>
  <c r="U22" i="3"/>
  <c r="E5" i="1"/>
  <c r="E8" i="1"/>
  <c r="Y20" i="9"/>
  <c r="Y83" i="9"/>
  <c r="Y86" i="9"/>
  <c r="AI83" i="9"/>
  <c r="AI86" i="9"/>
  <c r="K99" i="9"/>
  <c r="M23" i="3"/>
  <c r="U23" i="3"/>
  <c r="B29" i="1"/>
  <c r="I34" i="5"/>
  <c r="K34" i="5"/>
  <c r="I33" i="5"/>
  <c r="K33" i="5"/>
  <c r="B15" i="1"/>
  <c r="D10" i="1"/>
  <c r="T32" i="3"/>
  <c r="U32" i="3"/>
  <c r="D25" i="5"/>
  <c r="D27" i="5"/>
  <c r="E27" i="5"/>
  <c r="H44" i="5"/>
  <c r="I19" i="2"/>
  <c r="M36" i="3"/>
  <c r="U36" i="3"/>
  <c r="U44" i="3"/>
  <c r="H34" i="5"/>
  <c r="T36" i="3"/>
  <c r="F52" i="4"/>
  <c r="J52" i="4"/>
  <c r="G84" i="9"/>
  <c r="C51" i="5"/>
  <c r="T40" i="3"/>
  <c r="U40" i="3"/>
  <c r="H30" i="5"/>
  <c r="H47" i="5"/>
  <c r="AI99" i="9"/>
  <c r="H29" i="5"/>
  <c r="H46" i="5"/>
  <c r="N66" i="9"/>
  <c r="O63" i="9"/>
  <c r="O66" i="9"/>
  <c r="U11" i="3"/>
  <c r="T12" i="3"/>
  <c r="T38" i="3"/>
  <c r="U38" i="3"/>
  <c r="T43" i="3"/>
  <c r="B9" i="4"/>
  <c r="B5" i="4"/>
  <c r="K5" i="4"/>
  <c r="B11" i="4"/>
  <c r="K11" i="4"/>
  <c r="N54" i="2"/>
  <c r="D35" i="4"/>
  <c r="F35" i="4"/>
  <c r="J48" i="4"/>
  <c r="C50" i="5"/>
  <c r="D50" i="5"/>
  <c r="F50" i="5"/>
  <c r="Y81" i="9"/>
  <c r="I83" i="9"/>
  <c r="AD53" i="9"/>
  <c r="M20" i="3"/>
  <c r="U20" i="3"/>
  <c r="A21" i="5"/>
  <c r="A38" i="5"/>
  <c r="E18" i="1"/>
  <c r="E22" i="1"/>
  <c r="T25" i="3"/>
  <c r="T34" i="3"/>
  <c r="U34" i="3"/>
  <c r="I47" i="2"/>
  <c r="K52" i="4"/>
  <c r="I46" i="2"/>
  <c r="K51" i="4"/>
  <c r="M11" i="4"/>
  <c r="L48" i="2"/>
  <c r="L74" i="9"/>
  <c r="AL74" i="9"/>
  <c r="D19" i="2"/>
  <c r="E19" i="2"/>
  <c r="U9" i="3"/>
  <c r="J9" i="5"/>
  <c r="H9" i="5"/>
  <c r="K9" i="5"/>
  <c r="I9" i="5"/>
  <c r="D43" i="5"/>
  <c r="H45" i="5"/>
  <c r="K45" i="5"/>
  <c r="B75" i="5"/>
  <c r="M9" i="9"/>
  <c r="M42" i="9"/>
  <c r="T33" i="9"/>
  <c r="T96" i="9"/>
  <c r="T99" i="9"/>
  <c r="E17" i="9"/>
  <c r="E70" i="9"/>
  <c r="E81" i="9"/>
  <c r="E15" i="9"/>
  <c r="F51" i="5"/>
  <c r="H51" i="5"/>
  <c r="I20" i="2"/>
  <c r="K48" i="5"/>
  <c r="B78" i="5"/>
  <c r="AL4" i="9"/>
  <c r="K44" i="9"/>
  <c r="K11" i="9"/>
  <c r="K12" i="5"/>
  <c r="K46" i="5"/>
  <c r="B76" i="5"/>
  <c r="F38" i="9"/>
  <c r="AL38" i="9"/>
  <c r="G19" i="1"/>
  <c r="E51" i="9"/>
  <c r="K54" i="4"/>
  <c r="I49" i="2"/>
  <c r="M7" i="4"/>
  <c r="L44" i="2"/>
  <c r="X84" i="9"/>
  <c r="X53" i="9"/>
  <c r="AL63" i="9"/>
  <c r="I43" i="2"/>
  <c r="K48" i="4"/>
  <c r="L48" i="4"/>
  <c r="S96" i="9"/>
  <c r="S99" i="9"/>
  <c r="S33" i="9"/>
  <c r="AL66" i="9"/>
  <c r="E11" i="1"/>
  <c r="E15" i="1"/>
  <c r="C26" i="11"/>
  <c r="D26" i="11"/>
  <c r="E25" i="1"/>
  <c r="E29" i="1"/>
  <c r="O7" i="9"/>
  <c r="AL7" i="9"/>
  <c r="K17" i="9"/>
  <c r="L7" i="9"/>
  <c r="K73" i="9"/>
  <c r="T7" i="9"/>
  <c r="P7" i="9"/>
  <c r="S7" i="9"/>
  <c r="W7" i="9"/>
  <c r="X7" i="9"/>
  <c r="E71" i="9"/>
  <c r="E18" i="9"/>
  <c r="F5" i="9"/>
  <c r="E25" i="4"/>
  <c r="E26" i="4"/>
  <c r="E23" i="4"/>
  <c r="E21" i="4"/>
  <c r="H21" i="4"/>
  <c r="E24" i="4"/>
  <c r="E27" i="4"/>
  <c r="E20" i="4"/>
  <c r="E28" i="4"/>
  <c r="E22" i="4"/>
  <c r="D53" i="9"/>
  <c r="F39" i="9"/>
  <c r="F6" i="9"/>
  <c r="H42" i="5"/>
  <c r="D3" i="15"/>
  <c r="I19" i="4"/>
  <c r="E4" i="6"/>
  <c r="H19" i="4"/>
  <c r="G19" i="4"/>
  <c r="L46" i="4"/>
  <c r="N41" i="2"/>
  <c r="D5" i="15"/>
  <c r="E6" i="6"/>
  <c r="G21" i="4"/>
  <c r="N43" i="2"/>
  <c r="I21" i="4"/>
  <c r="K16" i="5"/>
  <c r="D14" i="6"/>
  <c r="E50" i="9"/>
  <c r="E48" i="9"/>
  <c r="K19" i="2"/>
  <c r="B62" i="4"/>
  <c r="D60" i="4"/>
  <c r="F60" i="4"/>
  <c r="H49" i="5"/>
  <c r="K49" i="5"/>
  <c r="B79" i="5"/>
  <c r="K55" i="4"/>
  <c r="I50" i="2"/>
  <c r="H48" i="5"/>
  <c r="H26" i="10"/>
  <c r="C35" i="11"/>
  <c r="AL41" i="9"/>
  <c r="G22" i="1"/>
  <c r="W84" i="9"/>
  <c r="W53" i="9"/>
  <c r="I8" i="1"/>
  <c r="L8" i="1"/>
  <c r="I22" i="1"/>
  <c r="C12" i="11"/>
  <c r="F8" i="6"/>
  <c r="N99" i="9"/>
  <c r="N101" i="9"/>
  <c r="Q4" i="1"/>
  <c r="Q18" i="1"/>
  <c r="AL33" i="9"/>
  <c r="M9" i="4"/>
  <c r="L46" i="2"/>
  <c r="B18" i="1"/>
  <c r="B4" i="1"/>
  <c r="B8" i="1"/>
  <c r="K49" i="4"/>
  <c r="I44" i="2"/>
  <c r="L49" i="4"/>
  <c r="O96" i="9"/>
  <c r="O99" i="9"/>
  <c r="AL30" i="9"/>
  <c r="O33" i="9"/>
  <c r="D20" i="9"/>
  <c r="D83" i="9"/>
  <c r="L47" i="2"/>
  <c r="M10" i="4"/>
  <c r="H50" i="5"/>
  <c r="G8" i="6"/>
  <c r="H8" i="5"/>
  <c r="J8" i="5"/>
  <c r="D42" i="5"/>
  <c r="F42" i="5"/>
  <c r="I8" i="5"/>
  <c r="AL70" i="9"/>
  <c r="D81" i="9"/>
  <c r="O51" i="9"/>
  <c r="O74" i="9"/>
  <c r="O48" i="9"/>
  <c r="I19" i="1"/>
  <c r="I5" i="1"/>
  <c r="L5" i="1"/>
  <c r="L42" i="2"/>
  <c r="M5" i="4"/>
  <c r="B61" i="4"/>
  <c r="K14" i="4"/>
  <c r="D15" i="1"/>
  <c r="D34" i="1"/>
  <c r="E33" i="9"/>
  <c r="E95" i="9"/>
  <c r="L53" i="4"/>
  <c r="K53" i="4"/>
  <c r="I48" i="2"/>
  <c r="M12" i="4"/>
  <c r="L54" i="4"/>
  <c r="L49" i="2"/>
  <c r="H22" i="10"/>
  <c r="L4" i="1"/>
  <c r="U35" i="3"/>
  <c r="U18" i="3"/>
  <c r="H7" i="5"/>
  <c r="D41" i="5"/>
  <c r="J7" i="5"/>
  <c r="I7" i="5"/>
  <c r="M13" i="4"/>
  <c r="L50" i="2"/>
  <c r="I43" i="9"/>
  <c r="I10" i="9"/>
  <c r="K47" i="5"/>
  <c r="B77" i="5"/>
  <c r="P48" i="9"/>
  <c r="P74" i="9"/>
  <c r="P51" i="9"/>
  <c r="C34" i="11"/>
  <c r="AL37" i="9"/>
  <c r="Q19" i="1"/>
  <c r="Q5" i="1"/>
  <c r="C16" i="11"/>
  <c r="F12" i="6"/>
  <c r="I29" i="1"/>
  <c r="L22" i="1"/>
  <c r="T17" i="9"/>
  <c r="T73" i="9"/>
  <c r="I23" i="1"/>
  <c r="I9" i="1"/>
  <c r="L9" i="1"/>
  <c r="Q10" i="9"/>
  <c r="AL10" i="9"/>
  <c r="R10" i="9"/>
  <c r="I15" i="9"/>
  <c r="I18" i="9"/>
  <c r="I76" i="9"/>
  <c r="J10" i="9"/>
  <c r="F4" i="6"/>
  <c r="C8" i="11"/>
  <c r="F6" i="6"/>
  <c r="C10" i="11"/>
  <c r="Z45" i="9"/>
  <c r="Z12" i="9"/>
  <c r="C11" i="11"/>
  <c r="F7" i="6"/>
  <c r="I13" i="1"/>
  <c r="I27" i="1"/>
  <c r="K50" i="5"/>
  <c r="B80" i="5"/>
  <c r="G4" i="6"/>
  <c r="F71" i="9"/>
  <c r="F18" i="9"/>
  <c r="F15" i="9"/>
  <c r="K18" i="9"/>
  <c r="K84" i="9"/>
  <c r="L11" i="9"/>
  <c r="K77" i="9"/>
  <c r="S11" i="9"/>
  <c r="N9" i="9"/>
  <c r="M15" i="9"/>
  <c r="U9" i="9"/>
  <c r="AL9" i="9"/>
  <c r="M18" i="9"/>
  <c r="V9" i="9"/>
  <c r="M75" i="9"/>
  <c r="D8" i="15"/>
  <c r="N46" i="2"/>
  <c r="I24" i="4"/>
  <c r="H24" i="4"/>
  <c r="E9" i="6"/>
  <c r="G24" i="4"/>
  <c r="I7" i="1"/>
  <c r="L7" i="1"/>
  <c r="I21" i="1"/>
  <c r="L21" i="1"/>
  <c r="O73" i="9"/>
  <c r="O81" i="9"/>
  <c r="O15" i="9"/>
  <c r="O17" i="9"/>
  <c r="F41" i="5"/>
  <c r="H41" i="5"/>
  <c r="K7" i="5"/>
  <c r="K41" i="5"/>
  <c r="B58" i="5"/>
  <c r="J21" i="4"/>
  <c r="X17" i="9"/>
  <c r="X15" i="9"/>
  <c r="X73" i="9"/>
  <c r="X81" i="9"/>
  <c r="D6" i="15"/>
  <c r="D13" i="15"/>
  <c r="G22" i="4"/>
  <c r="G23" i="4"/>
  <c r="E7" i="6"/>
  <c r="N44" i="2"/>
  <c r="H22" i="4"/>
  <c r="H23" i="4"/>
  <c r="I23" i="4"/>
  <c r="I22" i="4"/>
  <c r="L44" i="9"/>
  <c r="S44" i="9"/>
  <c r="K48" i="9"/>
  <c r="K51" i="9"/>
  <c r="K53" i="9"/>
  <c r="I11" i="1"/>
  <c r="L11" i="1"/>
  <c r="I25" i="1"/>
  <c r="P84" i="9"/>
  <c r="P53" i="9"/>
  <c r="W73" i="9"/>
  <c r="W81" i="9"/>
  <c r="W15" i="9"/>
  <c r="W17" i="9"/>
  <c r="E31" i="1"/>
  <c r="F43" i="5"/>
  <c r="H43" i="5"/>
  <c r="K43" i="5"/>
  <c r="B60" i="5"/>
  <c r="D10" i="15"/>
  <c r="N48" i="2"/>
  <c r="G26" i="4"/>
  <c r="E11" i="6"/>
  <c r="H26" i="4"/>
  <c r="I26" i="4"/>
  <c r="J44" i="5"/>
  <c r="A62" i="5"/>
  <c r="L19" i="2"/>
  <c r="C10" i="5"/>
  <c r="P73" i="9"/>
  <c r="P81" i="9"/>
  <c r="P17" i="9"/>
  <c r="P15" i="9"/>
  <c r="L51" i="4"/>
  <c r="D86" i="9"/>
  <c r="G18" i="1"/>
  <c r="D11" i="15"/>
  <c r="G27" i="4"/>
  <c r="N49" i="2"/>
  <c r="H27" i="4"/>
  <c r="I27" i="4"/>
  <c r="E12" i="6"/>
  <c r="E84" i="9"/>
  <c r="H30" i="10"/>
  <c r="H31" i="10"/>
  <c r="D14" i="15"/>
  <c r="AL71" i="9"/>
  <c r="C15" i="11"/>
  <c r="F11" i="6"/>
  <c r="D9" i="15"/>
  <c r="N47" i="2"/>
  <c r="G25" i="4"/>
  <c r="J25" i="4"/>
  <c r="I25" i="4"/>
  <c r="E10" i="6"/>
  <c r="H25" i="4"/>
  <c r="E99" i="9"/>
  <c r="AL95" i="9"/>
  <c r="O53" i="9"/>
  <c r="O84" i="9"/>
  <c r="C4" i="11"/>
  <c r="C6" i="11"/>
  <c r="G6" i="6"/>
  <c r="S17" i="9"/>
  <c r="S15" i="9"/>
  <c r="S73" i="9"/>
  <c r="I12" i="1"/>
  <c r="I26" i="1"/>
  <c r="K81" i="9"/>
  <c r="L19" i="1"/>
  <c r="E83" i="9"/>
  <c r="E86" i="9"/>
  <c r="E20" i="9"/>
  <c r="R43" i="9"/>
  <c r="R51" i="9"/>
  <c r="Q43" i="9"/>
  <c r="Q51" i="9"/>
  <c r="I51" i="9"/>
  <c r="I53" i="9"/>
  <c r="J43" i="9"/>
  <c r="I48" i="9"/>
  <c r="F61" i="4"/>
  <c r="C5" i="11"/>
  <c r="D61" i="4"/>
  <c r="K20" i="2"/>
  <c r="K22" i="2"/>
  <c r="J19" i="4"/>
  <c r="R6" i="9"/>
  <c r="F17" i="9"/>
  <c r="AL6" i="9"/>
  <c r="F72" i="9"/>
  <c r="G6" i="9"/>
  <c r="Q6" i="9"/>
  <c r="L17" i="9"/>
  <c r="L73" i="9"/>
  <c r="AL73" i="9"/>
  <c r="F48" i="9"/>
  <c r="F51" i="9"/>
  <c r="Z13" i="9"/>
  <c r="Z46" i="9"/>
  <c r="D4" i="15"/>
  <c r="N42" i="2"/>
  <c r="G20" i="4"/>
  <c r="J20" i="4"/>
  <c r="E5" i="6"/>
  <c r="I20" i="4"/>
  <c r="H20" i="4"/>
  <c r="L47" i="4"/>
  <c r="L56" i="4"/>
  <c r="AL96" i="9"/>
  <c r="E53" i="9"/>
  <c r="R39" i="9"/>
  <c r="F50" i="9"/>
  <c r="Q39" i="9"/>
  <c r="G39" i="9"/>
  <c r="K15" i="9"/>
  <c r="I20" i="1"/>
  <c r="I6" i="1"/>
  <c r="L6" i="1"/>
  <c r="L52" i="4"/>
  <c r="D12" i="15"/>
  <c r="E13" i="6"/>
  <c r="G28" i="4"/>
  <c r="J28" i="4"/>
  <c r="I28" i="4"/>
  <c r="N50" i="2"/>
  <c r="H28" i="4"/>
  <c r="K8" i="5"/>
  <c r="K42" i="5"/>
  <c r="B59" i="5"/>
  <c r="T101" i="9"/>
  <c r="S101" i="9"/>
  <c r="O101" i="9"/>
  <c r="L55" i="4"/>
  <c r="M14" i="4"/>
  <c r="AL5" i="9"/>
  <c r="K83" i="9"/>
  <c r="K86" i="9"/>
  <c r="M48" i="9"/>
  <c r="V42" i="9"/>
  <c r="U42" i="9"/>
  <c r="N42" i="9"/>
  <c r="M51" i="9"/>
  <c r="M53" i="9"/>
  <c r="I10" i="1"/>
  <c r="L10" i="1"/>
  <c r="I24" i="1"/>
  <c r="R50" i="9"/>
  <c r="R53" i="9"/>
  <c r="R48" i="9"/>
  <c r="L18" i="9"/>
  <c r="L84" i="9"/>
  <c r="L77" i="9"/>
  <c r="T11" i="9"/>
  <c r="G13" i="6"/>
  <c r="D16" i="15"/>
  <c r="L18" i="1"/>
  <c r="Z15" i="9"/>
  <c r="Z17" i="9"/>
  <c r="Z78" i="9"/>
  <c r="AA12" i="9"/>
  <c r="L20" i="2"/>
  <c r="C17" i="5"/>
  <c r="J51" i="5"/>
  <c r="A82" i="5"/>
  <c r="AL11" i="9"/>
  <c r="G15" i="9"/>
  <c r="G17" i="9"/>
  <c r="G72" i="9"/>
  <c r="G81" i="9"/>
  <c r="AL43" i="9"/>
  <c r="G24" i="1"/>
  <c r="G12" i="6"/>
  <c r="P20" i="9"/>
  <c r="P83" i="9"/>
  <c r="P86" i="9"/>
  <c r="J22" i="4"/>
  <c r="E14" i="6"/>
  <c r="I20" i="9"/>
  <c r="I84" i="9"/>
  <c r="I86" i="9"/>
  <c r="S48" i="9"/>
  <c r="S51" i="9"/>
  <c r="S53" i="9"/>
  <c r="V51" i="9"/>
  <c r="V53" i="9"/>
  <c r="V48" i="9"/>
  <c r="Q48" i="9"/>
  <c r="Q50" i="9"/>
  <c r="Q53" i="9"/>
  <c r="D15" i="15"/>
  <c r="F20" i="9"/>
  <c r="F83" i="9"/>
  <c r="D62" i="4"/>
  <c r="J24" i="4"/>
  <c r="N18" i="9"/>
  <c r="N75" i="9"/>
  <c r="N81" i="9"/>
  <c r="N15" i="9"/>
  <c r="T83" i="9"/>
  <c r="K28" i="4"/>
  <c r="H50" i="2"/>
  <c r="L28" i="4"/>
  <c r="Z51" i="9"/>
  <c r="AA46" i="9"/>
  <c r="AA51" i="9"/>
  <c r="AL46" i="9"/>
  <c r="G27" i="1"/>
  <c r="J27" i="4"/>
  <c r="L22" i="2"/>
  <c r="W83" i="9"/>
  <c r="W86" i="9"/>
  <c r="W20" i="9"/>
  <c r="X83" i="9"/>
  <c r="X86" i="9"/>
  <c r="X20" i="9"/>
  <c r="S77" i="9"/>
  <c r="S81" i="9"/>
  <c r="S18" i="9"/>
  <c r="S84" i="9"/>
  <c r="J15" i="9"/>
  <c r="J18" i="9"/>
  <c r="J76" i="9"/>
  <c r="J81" i="9"/>
  <c r="N51" i="9"/>
  <c r="N53" i="9"/>
  <c r="N48" i="9"/>
  <c r="L20" i="4"/>
  <c r="K20" i="4"/>
  <c r="H42" i="2"/>
  <c r="K25" i="4"/>
  <c r="L25" i="4"/>
  <c r="H47" i="2"/>
  <c r="U18" i="9"/>
  <c r="U15" i="9"/>
  <c r="U75" i="9"/>
  <c r="U81" i="9"/>
  <c r="U48" i="9"/>
  <c r="U51" i="9"/>
  <c r="U53" i="9"/>
  <c r="G48" i="9"/>
  <c r="G50" i="9"/>
  <c r="S83" i="9"/>
  <c r="H10" i="5"/>
  <c r="I10" i="5"/>
  <c r="J10" i="5"/>
  <c r="T44" i="9"/>
  <c r="L51" i="9"/>
  <c r="L53" i="9"/>
  <c r="L48" i="9"/>
  <c r="F53" i="9"/>
  <c r="R17" i="9"/>
  <c r="R72" i="9"/>
  <c r="R15" i="9"/>
  <c r="K20" i="9"/>
  <c r="AL39" i="9"/>
  <c r="Z18" i="9"/>
  <c r="Z84" i="9"/>
  <c r="Z79" i="9"/>
  <c r="AA13" i="9"/>
  <c r="K19" i="4"/>
  <c r="H41" i="2"/>
  <c r="L19" i="4"/>
  <c r="F62" i="4"/>
  <c r="K21" i="4"/>
  <c r="L21" i="4"/>
  <c r="H43" i="2"/>
  <c r="I81" i="9"/>
  <c r="L81" i="9"/>
  <c r="AL99" i="9"/>
  <c r="AL101" i="9"/>
  <c r="Z48" i="9"/>
  <c r="Z50" i="9"/>
  <c r="AA45" i="9"/>
  <c r="R76" i="9"/>
  <c r="R18" i="9"/>
  <c r="R84" i="9"/>
  <c r="C14" i="11"/>
  <c r="F10" i="6"/>
  <c r="G10" i="6"/>
  <c r="C9" i="11"/>
  <c r="F5" i="6"/>
  <c r="G5" i="6"/>
  <c r="L83" i="9"/>
  <c r="L86" i="9"/>
  <c r="L20" i="9"/>
  <c r="G11" i="6"/>
  <c r="M81" i="9"/>
  <c r="Q18" i="9"/>
  <c r="Q84" i="9"/>
  <c r="Q76" i="9"/>
  <c r="AL76" i="9"/>
  <c r="C17" i="11"/>
  <c r="F13" i="6"/>
  <c r="I15" i="1"/>
  <c r="I31" i="1"/>
  <c r="L15" i="9"/>
  <c r="F9" i="6"/>
  <c r="G9" i="6"/>
  <c r="C13" i="11"/>
  <c r="C18" i="11"/>
  <c r="C39" i="11"/>
  <c r="G7" i="11"/>
  <c r="J26" i="4"/>
  <c r="G7" i="6"/>
  <c r="O83" i="9"/>
  <c r="O86" i="9"/>
  <c r="O20" i="9"/>
  <c r="V18" i="9"/>
  <c r="V15" i="9"/>
  <c r="V75" i="9"/>
  <c r="V81" i="9"/>
  <c r="F84" i="9"/>
  <c r="AL42" i="9"/>
  <c r="G23" i="1"/>
  <c r="Q15" i="9"/>
  <c r="Q72" i="9"/>
  <c r="Q81" i="9"/>
  <c r="Q17" i="9"/>
  <c r="J51" i="9"/>
  <c r="J53" i="9"/>
  <c r="J48" i="9"/>
  <c r="J23" i="4"/>
  <c r="M20" i="9"/>
  <c r="M84" i="9"/>
  <c r="M86" i="9"/>
  <c r="F81" i="9"/>
  <c r="G14" i="6"/>
  <c r="G53" i="9"/>
  <c r="AL50" i="9"/>
  <c r="Q83" i="9"/>
  <c r="Q86" i="9"/>
  <c r="Q20" i="9"/>
  <c r="AA79" i="9"/>
  <c r="AA18" i="9"/>
  <c r="AA84" i="9"/>
  <c r="T48" i="9"/>
  <c r="T51" i="9"/>
  <c r="T53" i="9"/>
  <c r="U20" i="9"/>
  <c r="U84" i="9"/>
  <c r="U86" i="9"/>
  <c r="AA17" i="9"/>
  <c r="AL17" i="9"/>
  <c r="AA15" i="9"/>
  <c r="AA78" i="9"/>
  <c r="AA81" i="9"/>
  <c r="J47" i="2"/>
  <c r="O47" i="2"/>
  <c r="H24" i="1"/>
  <c r="J24" i="1"/>
  <c r="H10" i="1"/>
  <c r="B14" i="11"/>
  <c r="D14" i="11"/>
  <c r="M52" i="4"/>
  <c r="L23" i="1"/>
  <c r="AL13" i="9"/>
  <c r="G13" i="1"/>
  <c r="K10" i="5"/>
  <c r="H27" i="1"/>
  <c r="J27" i="1"/>
  <c r="H13" i="1"/>
  <c r="J13" i="1"/>
  <c r="J50" i="2"/>
  <c r="O50" i="2"/>
  <c r="H44" i="2"/>
  <c r="L22" i="4"/>
  <c r="K22" i="4"/>
  <c r="I17" i="5"/>
  <c r="J17" i="5"/>
  <c r="H17" i="5"/>
  <c r="T77" i="9"/>
  <c r="T81" i="9"/>
  <c r="T18" i="9"/>
  <c r="T15" i="9"/>
  <c r="AL79" i="9"/>
  <c r="M55" i="4"/>
  <c r="B17" i="11"/>
  <c r="D17" i="11"/>
  <c r="G20" i="1"/>
  <c r="S20" i="9"/>
  <c r="J42" i="2"/>
  <c r="O42" i="2"/>
  <c r="H19" i="1"/>
  <c r="H5" i="1"/>
  <c r="M47" i="4"/>
  <c r="B9" i="11"/>
  <c r="D9" i="11"/>
  <c r="F86" i="9"/>
  <c r="J43" i="2"/>
  <c r="O43" i="2"/>
  <c r="H6" i="1"/>
  <c r="H20" i="1"/>
  <c r="J20" i="1"/>
  <c r="S86" i="9"/>
  <c r="AL12" i="9"/>
  <c r="G12" i="1"/>
  <c r="M48" i="4"/>
  <c r="B10" i="11"/>
  <c r="D10" i="11"/>
  <c r="K23" i="4"/>
  <c r="H45" i="2"/>
  <c r="L23" i="4"/>
  <c r="L29" i="4"/>
  <c r="V84" i="9"/>
  <c r="V86" i="9"/>
  <c r="V20" i="9"/>
  <c r="R81" i="9"/>
  <c r="Z81" i="9"/>
  <c r="AA50" i="9"/>
  <c r="AA53" i="9"/>
  <c r="AA48" i="9"/>
  <c r="R20" i="9"/>
  <c r="R83" i="9"/>
  <c r="R86" i="9"/>
  <c r="H49" i="2"/>
  <c r="L27" i="4"/>
  <c r="K27" i="4"/>
  <c r="K24" i="1"/>
  <c r="L24" i="1"/>
  <c r="Z20" i="9"/>
  <c r="Z83" i="9"/>
  <c r="Z86" i="9"/>
  <c r="Z53" i="9"/>
  <c r="B8" i="11"/>
  <c r="M46" i="4"/>
  <c r="N84" i="9"/>
  <c r="N86" i="9"/>
  <c r="N20" i="9"/>
  <c r="AL44" i="9"/>
  <c r="G25" i="1"/>
  <c r="AL75" i="9"/>
  <c r="H18" i="1"/>
  <c r="H4" i="1"/>
  <c r="J41" i="2"/>
  <c r="O41" i="2"/>
  <c r="J20" i="9"/>
  <c r="J84" i="9"/>
  <c r="L27" i="1"/>
  <c r="H46" i="2"/>
  <c r="L24" i="4"/>
  <c r="K24" i="4"/>
  <c r="G83" i="9"/>
  <c r="G86" i="9"/>
  <c r="G20" i="9"/>
  <c r="L26" i="4"/>
  <c r="K26" i="4"/>
  <c r="H48" i="2"/>
  <c r="AL45" i="9"/>
  <c r="G26" i="1"/>
  <c r="AL72" i="9"/>
  <c r="N13" i="1"/>
  <c r="N27" i="1"/>
  <c r="M24" i="1"/>
  <c r="B13" i="11"/>
  <c r="D13" i="11"/>
  <c r="M51" i="4"/>
  <c r="H26" i="1"/>
  <c r="J26" i="1"/>
  <c r="J49" i="2"/>
  <c r="O49" i="2"/>
  <c r="H12" i="1"/>
  <c r="J12" i="1"/>
  <c r="J5" i="1"/>
  <c r="K5" i="1"/>
  <c r="M5" i="1"/>
  <c r="H9" i="1"/>
  <c r="J46" i="2"/>
  <c r="O46" i="2"/>
  <c r="H23" i="1"/>
  <c r="J19" i="1"/>
  <c r="K19" i="1"/>
  <c r="M19" i="1"/>
  <c r="K17" i="5"/>
  <c r="K27" i="1"/>
  <c r="M27" i="1"/>
  <c r="N18" i="1"/>
  <c r="N4" i="1"/>
  <c r="N6" i="1"/>
  <c r="N20" i="1"/>
  <c r="N10" i="1"/>
  <c r="N24" i="1"/>
  <c r="J18" i="1"/>
  <c r="K18" i="1"/>
  <c r="B12" i="11"/>
  <c r="D12" i="11"/>
  <c r="M50" i="4"/>
  <c r="K44" i="5"/>
  <c r="H19" i="2"/>
  <c r="E60" i="4"/>
  <c r="H8" i="1"/>
  <c r="H22" i="1"/>
  <c r="J45" i="2"/>
  <c r="O45" i="2"/>
  <c r="M53" i="4"/>
  <c r="B15" i="11"/>
  <c r="D15" i="11"/>
  <c r="AA20" i="9"/>
  <c r="AA83" i="9"/>
  <c r="AL48" i="9"/>
  <c r="AL53" i="9"/>
  <c r="AL56" i="9"/>
  <c r="AL59" i="9"/>
  <c r="T84" i="9"/>
  <c r="T86" i="9"/>
  <c r="T20" i="9"/>
  <c r="D8" i="11"/>
  <c r="J86" i="9"/>
  <c r="AL84" i="9"/>
  <c r="AL78" i="9"/>
  <c r="L20" i="1"/>
  <c r="K20" i="1"/>
  <c r="M20" i="1"/>
  <c r="G29" i="1"/>
  <c r="B11" i="11"/>
  <c r="D11" i="11"/>
  <c r="M49" i="4"/>
  <c r="J10" i="1"/>
  <c r="K10" i="1"/>
  <c r="M10" i="1"/>
  <c r="L25" i="1"/>
  <c r="K25" i="1"/>
  <c r="M25" i="1"/>
  <c r="B16" i="11"/>
  <c r="D16" i="11"/>
  <c r="M54" i="4"/>
  <c r="N5" i="1"/>
  <c r="N19" i="1"/>
  <c r="L12" i="1"/>
  <c r="G15" i="1"/>
  <c r="G31" i="1"/>
  <c r="AL18" i="9"/>
  <c r="AL20" i="9"/>
  <c r="AL23" i="9"/>
  <c r="L26" i="1"/>
  <c r="K26" i="1"/>
  <c r="M26" i="1"/>
  <c r="J6" i="1"/>
  <c r="K6" i="1"/>
  <c r="M6" i="1"/>
  <c r="AL77" i="9"/>
  <c r="AL81" i="9"/>
  <c r="H7" i="1"/>
  <c r="J44" i="2"/>
  <c r="O44" i="2"/>
  <c r="H21" i="1"/>
  <c r="AL51" i="9"/>
  <c r="H11" i="1"/>
  <c r="H25" i="1"/>
  <c r="J25" i="1"/>
  <c r="J48" i="2"/>
  <c r="O48" i="2"/>
  <c r="J4" i="1"/>
  <c r="K4" i="1"/>
  <c r="L13" i="1"/>
  <c r="K13" i="1"/>
  <c r="AL15" i="9"/>
  <c r="AL89" i="9"/>
  <c r="AL92" i="9"/>
  <c r="AL26" i="9"/>
  <c r="M13" i="1"/>
  <c r="N26" i="1"/>
  <c r="N12" i="1"/>
  <c r="J9" i="1"/>
  <c r="K9" i="1"/>
  <c r="M9" i="1"/>
  <c r="D18" i="11"/>
  <c r="B18" i="11"/>
  <c r="E62" i="4"/>
  <c r="G62" i="4"/>
  <c r="B4" i="11"/>
  <c r="G60" i="4"/>
  <c r="K8" i="1"/>
  <c r="M8" i="1"/>
  <c r="J8" i="1"/>
  <c r="P18" i="1"/>
  <c r="J19" i="2"/>
  <c r="M19" i="2"/>
  <c r="P4" i="1"/>
  <c r="M56" i="4"/>
  <c r="J22" i="1"/>
  <c r="K22" i="1"/>
  <c r="M22" i="1"/>
  <c r="K15" i="1"/>
  <c r="M4" i="1"/>
  <c r="M15" i="1"/>
  <c r="H15" i="1"/>
  <c r="H31" i="1"/>
  <c r="H12" i="6"/>
  <c r="H6" i="6"/>
  <c r="B62" i="5"/>
  <c r="H7" i="6"/>
  <c r="H4" i="6"/>
  <c r="N21" i="1"/>
  <c r="N29" i="1"/>
  <c r="N7" i="1"/>
  <c r="N15" i="1"/>
  <c r="N31" i="1"/>
  <c r="N22" i="1"/>
  <c r="N8" i="1"/>
  <c r="N9" i="1"/>
  <c r="N23" i="1"/>
  <c r="J11" i="1"/>
  <c r="K11" i="1"/>
  <c r="M11" i="1"/>
  <c r="H20" i="2"/>
  <c r="K51" i="5"/>
  <c r="E61" i="4"/>
  <c r="L15" i="1"/>
  <c r="L31" i="1"/>
  <c r="AA86" i="9"/>
  <c r="AL83" i="9"/>
  <c r="AL86" i="9"/>
  <c r="K29" i="1"/>
  <c r="M18" i="1"/>
  <c r="M29" i="1"/>
  <c r="J21" i="1"/>
  <c r="J29" i="1"/>
  <c r="K21" i="1"/>
  <c r="M21" i="1"/>
  <c r="K12" i="1"/>
  <c r="M12" i="1"/>
  <c r="H29" i="1"/>
  <c r="L29" i="1"/>
  <c r="J23" i="1"/>
  <c r="K23" i="1"/>
  <c r="M23" i="1"/>
  <c r="J7" i="1"/>
  <c r="J15" i="1"/>
  <c r="K7" i="1"/>
  <c r="M7" i="1"/>
  <c r="N11" i="1"/>
  <c r="N25" i="1"/>
  <c r="J31" i="1"/>
  <c r="M31" i="1"/>
  <c r="D4" i="11"/>
  <c r="B5" i="11"/>
  <c r="D5" i="11"/>
  <c r="G61" i="4"/>
  <c r="H13" i="6"/>
  <c r="H10" i="6"/>
  <c r="H11" i="6"/>
  <c r="H9" i="6"/>
  <c r="H8" i="6"/>
  <c r="B82" i="5"/>
  <c r="H5" i="6"/>
  <c r="J4" i="6"/>
  <c r="I4" i="6"/>
  <c r="J6" i="6"/>
  <c r="I6" i="6"/>
  <c r="K6" i="6"/>
  <c r="R4" i="1"/>
  <c r="R18" i="1"/>
  <c r="K31" i="1"/>
  <c r="J20" i="2"/>
  <c r="M20" i="2"/>
  <c r="P19" i="1"/>
  <c r="P5" i="1"/>
  <c r="J7" i="6"/>
  <c r="I7" i="6"/>
  <c r="K7" i="6"/>
  <c r="J12" i="6"/>
  <c r="I12" i="6"/>
  <c r="K12" i="6"/>
  <c r="J8" i="6"/>
  <c r="I8" i="6"/>
  <c r="K8" i="6"/>
  <c r="J9" i="6"/>
  <c r="I9" i="6"/>
  <c r="K9" i="6"/>
  <c r="J11" i="6"/>
  <c r="I11" i="6"/>
  <c r="K11" i="6"/>
  <c r="J10" i="6"/>
  <c r="I10" i="6"/>
  <c r="K10" i="6"/>
  <c r="J13" i="6"/>
  <c r="I13" i="6"/>
  <c r="K13" i="6"/>
  <c r="R19" i="1"/>
  <c r="R29" i="1"/>
  <c r="R5" i="1"/>
  <c r="R15" i="1"/>
  <c r="D6" i="11"/>
  <c r="K4" i="6"/>
  <c r="B6" i="11"/>
  <c r="B39" i="11"/>
  <c r="D39" i="11"/>
  <c r="J5" i="6"/>
  <c r="I5" i="6"/>
  <c r="K5" i="6"/>
  <c r="R31" i="1"/>
  <c r="G8" i="11"/>
  <c r="G9" i="11"/>
  <c r="I14" i="6"/>
  <c r="K14" i="6"/>
</calcChain>
</file>

<file path=xl/sharedStrings.xml><?xml version="1.0" encoding="utf-8"?>
<sst xmlns="http://schemas.openxmlformats.org/spreadsheetml/2006/main" count="1580" uniqueCount="923">
  <si>
    <t>J1</t>
  </si>
  <si>
    <t>J2</t>
  </si>
  <si>
    <t>J3</t>
  </si>
  <si>
    <t>F1</t>
  </si>
  <si>
    <t>F2</t>
  </si>
  <si>
    <t>F3</t>
  </si>
  <si>
    <t>M1</t>
  </si>
  <si>
    <t>M2</t>
  </si>
  <si>
    <t>M3</t>
  </si>
  <si>
    <t>A1</t>
  </si>
  <si>
    <t>A2</t>
  </si>
  <si>
    <t>A3</t>
  </si>
  <si>
    <t>S1</t>
  </si>
  <si>
    <t>S2</t>
  </si>
  <si>
    <t>S3</t>
  </si>
  <si>
    <t>O1</t>
  </si>
  <si>
    <t>O2</t>
  </si>
  <si>
    <t>O3</t>
  </si>
  <si>
    <t>N1</t>
  </si>
  <si>
    <t>N2</t>
  </si>
  <si>
    <t>N3</t>
  </si>
  <si>
    <t>D1</t>
  </si>
  <si>
    <t>D2</t>
  </si>
  <si>
    <t>D3</t>
  </si>
  <si>
    <t xml:space="preserve">    EQUIPAMENTOS</t>
  </si>
  <si>
    <t>BENS VARIÁVEIS</t>
  </si>
  <si>
    <t>BENS FIXOS</t>
  </si>
  <si>
    <t>(h)</t>
  </si>
  <si>
    <t>(Ct/h)</t>
  </si>
  <si>
    <t>CF(€/h)</t>
  </si>
  <si>
    <t>CV(€/h)</t>
  </si>
  <si>
    <t>CT(€/h)</t>
  </si>
  <si>
    <t>(desig.)</t>
  </si>
  <si>
    <t>(€/un)</t>
  </si>
  <si>
    <t>Adubos</t>
  </si>
  <si>
    <t>Despontadora</t>
  </si>
  <si>
    <t>Parcela 
Equipamentos</t>
  </si>
  <si>
    <t>Custo / kg da uva (€/kg)</t>
  </si>
  <si>
    <t>Equipamentos:</t>
  </si>
  <si>
    <t>Fatores de produção:</t>
  </si>
  <si>
    <t>…</t>
  </si>
  <si>
    <t>Quebras de produção (%)</t>
  </si>
  <si>
    <t>Produção de uvas (kg/ha)</t>
  </si>
  <si>
    <t>….</t>
  </si>
  <si>
    <t>Cto (€/Un)</t>
  </si>
  <si>
    <t>Benfeitorias:</t>
  </si>
  <si>
    <t>Unidades</t>
  </si>
  <si>
    <t>Hangar</t>
  </si>
  <si>
    <t>Parcela 1 (ha)-</t>
  </si>
  <si>
    <t>Parcela 2 (ha)-</t>
  </si>
  <si>
    <t>Armazém</t>
  </si>
  <si>
    <t>Área tota(ha)-</t>
  </si>
  <si>
    <t>h / ha</t>
  </si>
  <si>
    <t>Cto (€/ha)</t>
  </si>
  <si>
    <t>Área total (ha)</t>
  </si>
  <si>
    <t>……</t>
  </si>
  <si>
    <t>Rendimento em trabalho dos equipamentos</t>
  </si>
  <si>
    <t>Equipamento</t>
  </si>
  <si>
    <t>Ar.</t>
  </si>
  <si>
    <t>L.T.</t>
  </si>
  <si>
    <t>V.T.</t>
  </si>
  <si>
    <t>C.T.C.</t>
  </si>
  <si>
    <t>E.C.</t>
  </si>
  <si>
    <t>C.E.C.</t>
  </si>
  <si>
    <t>Nº
Pasagens</t>
  </si>
  <si>
    <t>Ft 
Correcao</t>
  </si>
  <si>
    <t>h/ano</t>
  </si>
  <si>
    <t>(ha)</t>
  </si>
  <si>
    <t>(m)</t>
  </si>
  <si>
    <t>(Km/h)</t>
  </si>
  <si>
    <t>(ha/h)</t>
  </si>
  <si>
    <t>(%)</t>
  </si>
  <si>
    <t>(h/ha)</t>
  </si>
  <si>
    <t>TOTAL</t>
  </si>
  <si>
    <t>Custo das operações culturais</t>
  </si>
  <si>
    <t>Pr.Maq.</t>
  </si>
  <si>
    <t>Pot.</t>
  </si>
  <si>
    <t>V. U.</t>
  </si>
  <si>
    <t>T.J.</t>
  </si>
  <si>
    <t>T.S.R.</t>
  </si>
  <si>
    <t>Depr.</t>
  </si>
  <si>
    <t>Juros</t>
  </si>
  <si>
    <t>Seg.</t>
  </si>
  <si>
    <t>E.F.(h)</t>
  </si>
  <si>
    <t>(€)</t>
  </si>
  <si>
    <t>(cv)</t>
  </si>
  <si>
    <t>(anos)</t>
  </si>
  <si>
    <t>(€/h)</t>
  </si>
  <si>
    <t>€/ha</t>
  </si>
  <si>
    <t>Pot.Mot.</t>
  </si>
  <si>
    <t>C.C.</t>
  </si>
  <si>
    <t>Cons.C.</t>
  </si>
  <si>
    <t>Pr. C.</t>
  </si>
  <si>
    <t>Comb.</t>
  </si>
  <si>
    <t>C.L.</t>
  </si>
  <si>
    <t>P. L.</t>
  </si>
  <si>
    <t>Lubr.</t>
  </si>
  <si>
    <t>l/cv.h</t>
  </si>
  <si>
    <t>(l/h)</t>
  </si>
  <si>
    <t>(€/l)</t>
  </si>
  <si>
    <t>(l/cv.h)</t>
  </si>
  <si>
    <t>P. p.</t>
  </si>
  <si>
    <t>D.p</t>
  </si>
  <si>
    <t>Pn.</t>
  </si>
  <si>
    <t>Rep.</t>
  </si>
  <si>
    <t>M.O.</t>
  </si>
  <si>
    <t>Man.</t>
  </si>
  <si>
    <t>M.O./Man.</t>
  </si>
  <si>
    <t>E.V.(h)</t>
  </si>
  <si>
    <t>(% M.O.)</t>
  </si>
  <si>
    <t>Trator</t>
  </si>
  <si>
    <t>Pot
(cv)</t>
  </si>
  <si>
    <t>Pr.tractor</t>
  </si>
  <si>
    <t>Seg+Rec</t>
  </si>
  <si>
    <t>(h/ano)</t>
  </si>
  <si>
    <t>Cs.Cb.</t>
  </si>
  <si>
    <t>Pr. Cb.</t>
  </si>
  <si>
    <t>CtoCb</t>
  </si>
  <si>
    <t>Cs.Lub.</t>
  </si>
  <si>
    <t>Pr. Lub.</t>
  </si>
  <si>
    <t>CtoLub.</t>
  </si>
  <si>
    <t>Pr. Pn</t>
  </si>
  <si>
    <t>Dr.Pn</t>
  </si>
  <si>
    <t>Cto Pn.</t>
  </si>
  <si>
    <t>Manute</t>
  </si>
  <si>
    <t>Cond.</t>
  </si>
  <si>
    <t>Tractor</t>
  </si>
  <si>
    <t>EF + EV</t>
  </si>
  <si>
    <t>(%Rep)</t>
  </si>
  <si>
    <t>Área</t>
  </si>
  <si>
    <t>Utilização
cultura</t>
  </si>
  <si>
    <t>h/ha</t>
  </si>
  <si>
    <t>(€/ano)</t>
  </si>
  <si>
    <t>TOTAL 
Trator+Equip.</t>
  </si>
  <si>
    <t>EFICIÊNCIAS DE CAMPO E VELOCIDADES DE TRABALHO</t>
  </si>
  <si>
    <t>Vel. (km/h) Usual</t>
  </si>
  <si>
    <t>Vel. (km/h) Escolhida</t>
  </si>
  <si>
    <t>Ec (%) Usual</t>
  </si>
  <si>
    <t>Ec (%) Escolhido</t>
  </si>
  <si>
    <t xml:space="preserve">1- MÁQUINAS DE PREPARAÇÃO E TRABALHO DO TERRENO </t>
  </si>
  <si>
    <t xml:space="preserve">   Charrua de aivecas</t>
  </si>
  <si>
    <t>4.5 - 7.0</t>
  </si>
  <si>
    <t>70 - 85</t>
  </si>
  <si>
    <t xml:space="preserve">   Charrua de discos </t>
  </si>
  <si>
    <t>5.0 - 8.0</t>
  </si>
  <si>
    <t xml:space="preserve">75 - 90 </t>
  </si>
  <si>
    <t xml:space="preserve">   Derregador de 3 ferros</t>
  </si>
  <si>
    <t>4.0 - 5.0</t>
  </si>
  <si>
    <t xml:space="preserve">75 - 85  </t>
  </si>
  <si>
    <t xml:space="preserve">   Desbastador</t>
  </si>
  <si>
    <t>2.5 - 3.5</t>
  </si>
  <si>
    <t xml:space="preserve">75 - 85 </t>
  </si>
  <si>
    <t xml:space="preserve">   Enxada mecânica </t>
  </si>
  <si>
    <t>1.5 - 3.5</t>
  </si>
  <si>
    <t>75 - 85</t>
  </si>
  <si>
    <t xml:space="preserve">   Escarificador</t>
  </si>
  <si>
    <t>75 - 90</t>
  </si>
  <si>
    <t xml:space="preserve">   Vibrocultor </t>
  </si>
  <si>
    <t>3.0 - 8.0</t>
  </si>
  <si>
    <t xml:space="preserve">   Fresa </t>
  </si>
  <si>
    <t>2.0 - 4.0</t>
  </si>
  <si>
    <t>80 - 90</t>
  </si>
  <si>
    <t xml:space="preserve">   Grades de dentes e de molas</t>
  </si>
  <si>
    <t>5.5 - 9.0</t>
  </si>
  <si>
    <t>65 - 85</t>
  </si>
  <si>
    <t xml:space="preserve">   Grades de discos </t>
  </si>
  <si>
    <t xml:space="preserve">   Rolo</t>
  </si>
  <si>
    <t>5.0 - 7.0</t>
  </si>
  <si>
    <t xml:space="preserve">   Sachador</t>
  </si>
  <si>
    <t>70 - 90</t>
  </si>
  <si>
    <t xml:space="preserve">   Sachador rotativo </t>
  </si>
  <si>
    <t>7.0 - 12.0</t>
  </si>
  <si>
    <t xml:space="preserve">   Subsolador </t>
  </si>
  <si>
    <t>1.0 - 5.0</t>
  </si>
  <si>
    <t>2- MÁQUINAS DE SEMENTEIRA. FERTILIZAÇÃO. DEFESA E PROTECÇÃO DAS CULTURAS</t>
  </si>
  <si>
    <t xml:space="preserve">   Dístribuidor centrífugo</t>
  </si>
  <si>
    <t>6.0 - 10.0</t>
  </si>
  <si>
    <t>40 - 50</t>
  </si>
  <si>
    <t xml:space="preserve">   Dístribuidor centrífugo de distribuição a granel</t>
  </si>
  <si>
    <t>50 - 75</t>
  </si>
  <si>
    <t xml:space="preserve">   Dístribuidor centrífugo clássico</t>
  </si>
  <si>
    <t>7.0 - 10.0</t>
  </si>
  <si>
    <t>45 - 65</t>
  </si>
  <si>
    <t xml:space="preserve">   Espalhadores de estrume </t>
  </si>
  <si>
    <t>3.0 - 5.0</t>
  </si>
  <si>
    <t xml:space="preserve">   Distribuidores de estrume</t>
  </si>
  <si>
    <t>4.0 - 6.0</t>
  </si>
  <si>
    <t xml:space="preserve">   Plantador de batata de alimentação manual</t>
  </si>
  <si>
    <t xml:space="preserve">1.5 - 2.5 </t>
  </si>
  <si>
    <t>55 - 65</t>
  </si>
  <si>
    <t xml:space="preserve">   Plantador de batata de alimentação automática  </t>
  </si>
  <si>
    <t xml:space="preserve">   Pulverizadores</t>
  </si>
  <si>
    <t>40 - 60</t>
  </si>
  <si>
    <t xml:space="preserve">   Polvilhadores</t>
  </si>
  <si>
    <t xml:space="preserve">   Semeador em linhas (semente miúda)</t>
  </si>
  <si>
    <t>4.0 - 9.0</t>
  </si>
  <si>
    <t>65 - 80</t>
  </si>
  <si>
    <t xml:space="preserve">   Semeador de precisão (monogrão)</t>
  </si>
  <si>
    <t>3.0 - 10.0</t>
  </si>
  <si>
    <t>60 - 80</t>
  </si>
  <si>
    <t xml:space="preserve">   Transplantadores</t>
  </si>
  <si>
    <t xml:space="preserve">3- MÁQUINAS DE COLHEITA </t>
  </si>
  <si>
    <t xml:space="preserve">   Arrancador de batatas</t>
  </si>
  <si>
    <t xml:space="preserve">   Arrancador-carregador de batatas</t>
  </si>
  <si>
    <t>1.5 - 2.5</t>
  </si>
  <si>
    <t>65 - 75</t>
  </si>
  <si>
    <t xml:space="preserve">   Arrancador de beterrabas</t>
  </si>
  <si>
    <t>3.5 - 4.5</t>
  </si>
  <si>
    <t>45 - 55</t>
  </si>
  <si>
    <t xml:space="preserve">   Arrancador-carregador de beterrabas </t>
  </si>
  <si>
    <t>45 - 60</t>
  </si>
  <si>
    <t xml:space="preserve">   Ceifeira-debulhadora automotriz  </t>
  </si>
  <si>
    <t>3.0 - 6.0</t>
  </si>
  <si>
    <t xml:space="preserve">   Ceifeira-debulhadora rebocada </t>
  </si>
  <si>
    <t>2.5 - 5.0</t>
  </si>
  <si>
    <t xml:space="preserve">   Colhedor-descamisador de milho</t>
  </si>
  <si>
    <t>55 - 70</t>
  </si>
  <si>
    <t xml:space="preserve">   Colhedor de forragens (milho e erva)</t>
  </si>
  <si>
    <t>2.0 - 6.0</t>
  </si>
  <si>
    <t xml:space="preserve">   Colhedor-recortador de forragens </t>
  </si>
  <si>
    <t>3.5 - 5.0</t>
  </si>
  <si>
    <t xml:space="preserve">   Enfardadeira em feno</t>
  </si>
  <si>
    <t>3.0 - 7.0</t>
  </si>
  <si>
    <t xml:space="preserve">   Enfardadeira de palha </t>
  </si>
  <si>
    <t>55 - 75</t>
  </si>
  <si>
    <t xml:space="preserve">   Virador</t>
  </si>
  <si>
    <t>6.0 - 8.0</t>
  </si>
  <si>
    <t xml:space="preserve">   Virador-juntador </t>
  </si>
  <si>
    <t>65 - 90</t>
  </si>
  <si>
    <t>4- TRANSPORTES</t>
  </si>
  <si>
    <t xml:space="preserve">   Em carga </t>
  </si>
  <si>
    <t>4 - 12</t>
  </si>
  <si>
    <t xml:space="preserve">   Sem carga </t>
  </si>
  <si>
    <t>10 - 20</t>
  </si>
  <si>
    <t>Adaptado de: C. CULPIN    Profitable Farm Mechanization; D. HUNT    Farm Power and Machinery Management; P. CANDELON    Les Machines Agricoles; F. C. CARY    Tempos-Padrões de Trabalho para Culturas Arvenses de Sequeiro no Alto Alentejo; Catálogos e especificações de fabricantes de material agrícola; CNEMMA    Livre du Maitre    Tome 3</t>
  </si>
  <si>
    <t>Nº</t>
  </si>
  <si>
    <t>ID</t>
  </si>
  <si>
    <t>Equipamentos - Designação</t>
  </si>
  <si>
    <t>Modelo</t>
  </si>
  <si>
    <t>PrRef.</t>
  </si>
  <si>
    <t>Repar.</t>
  </si>
  <si>
    <t>Amort.</t>
  </si>
  <si>
    <t>CtRep.</t>
  </si>
  <si>
    <t>EF+EV</t>
  </si>
  <si>
    <t>(horas)</t>
  </si>
  <si>
    <t>Carregador Frontal</t>
  </si>
  <si>
    <t>1,2 m</t>
  </si>
  <si>
    <t>Distribuidor de estrume</t>
  </si>
  <si>
    <t>4 tPB</t>
  </si>
  <si>
    <t>6 tPB</t>
  </si>
  <si>
    <t>Distribuidor de Chorume</t>
  </si>
  <si>
    <t>3000 litros</t>
  </si>
  <si>
    <t>4000 litros</t>
  </si>
  <si>
    <t>Cultivador rotativo de facas (fresa)</t>
  </si>
  <si>
    <t>1,1 m</t>
  </si>
  <si>
    <t>1,3 m</t>
  </si>
  <si>
    <t>1,5 m</t>
  </si>
  <si>
    <t>1,7 m</t>
  </si>
  <si>
    <t>1,9 m</t>
  </si>
  <si>
    <t>2,2 m</t>
  </si>
  <si>
    <t>Cultivador rotativo de bicos, c/ 4 ferros subsoladores e rolo</t>
  </si>
  <si>
    <t>3 m</t>
  </si>
  <si>
    <t>Charrua p/ surriba, c/ 1 ferro de 24'', reversível, rebocada</t>
  </si>
  <si>
    <t>60 cm</t>
  </si>
  <si>
    <t>Charrua c/ 2-3 ferros de 16'', corpo fixo, rebocada</t>
  </si>
  <si>
    <t>80 cm-2F</t>
  </si>
  <si>
    <t>120 cm-3F</t>
  </si>
  <si>
    <t>Charrua c/ 2-3 ferros de 18'' (reforçada), corpo fixo, rebocada</t>
  </si>
  <si>
    <t>90 cm-2F</t>
  </si>
  <si>
    <t>135 cm-3F</t>
  </si>
  <si>
    <t>Charrua c/ 1 ferro, 10-18'', reversão mecânica, montada</t>
  </si>
  <si>
    <t>25 cm-1F10''</t>
  </si>
  <si>
    <t>30 cm-1F12''</t>
  </si>
  <si>
    <t>35 cm-1F14''</t>
  </si>
  <si>
    <t>40 cm-1F16''</t>
  </si>
  <si>
    <t>45 cm-1F18''</t>
  </si>
  <si>
    <t>Charrua c/ 2 ferros, 10-12'', reversão mecânica, montada</t>
  </si>
  <si>
    <t>50 cm-2F10''</t>
  </si>
  <si>
    <t>60 cm-2F12''</t>
  </si>
  <si>
    <t>Charrua c/ 2-5 ferros, 14-18'', reversão hidráulica montada</t>
  </si>
  <si>
    <t>70 cm-2F14''</t>
  </si>
  <si>
    <t>80 cm-2F16''</t>
  </si>
  <si>
    <t>90 cm-2F18''</t>
  </si>
  <si>
    <t>105 cm-3F14''</t>
  </si>
  <si>
    <t>120 cm-3F16''</t>
  </si>
  <si>
    <t>140 cm-4F14''</t>
  </si>
  <si>
    <t>160 cm-4F16''</t>
  </si>
  <si>
    <t>175 cm-5F14''</t>
  </si>
  <si>
    <t>200 cm-5F16''</t>
  </si>
  <si>
    <t>Charrua vinhateira de aivecas, sem escavadoras</t>
  </si>
  <si>
    <t>5 ferros</t>
  </si>
  <si>
    <t>7 ferros</t>
  </si>
  <si>
    <t>Charrua vinhateira de aivecas, com escavadoras</t>
  </si>
  <si>
    <t>Charrua com discos de 26''</t>
  </si>
  <si>
    <t>2 discos</t>
  </si>
  <si>
    <t>3 discos</t>
  </si>
  <si>
    <t>4 discos</t>
  </si>
  <si>
    <t>Charrua vinhateira de discos</t>
  </si>
  <si>
    <t>6 discos</t>
  </si>
  <si>
    <t>8discos</t>
  </si>
  <si>
    <t>Grade offset com discos de 20'', montada</t>
  </si>
  <si>
    <t>14 discos</t>
  </si>
  <si>
    <t>16 discos</t>
  </si>
  <si>
    <t>18 discos</t>
  </si>
  <si>
    <t>20 discos</t>
  </si>
  <si>
    <t>Grade offset com discos de 24'', lev. Hidráulico, rebocada</t>
  </si>
  <si>
    <t>22 discos</t>
  </si>
  <si>
    <t>24 discos</t>
  </si>
  <si>
    <t>28 discos</t>
  </si>
  <si>
    <t>32 discos</t>
  </si>
  <si>
    <t>36 discos</t>
  </si>
  <si>
    <t>44 discos</t>
  </si>
  <si>
    <t>48 discos</t>
  </si>
  <si>
    <t>Subsolador (sulcos a 50 cm)</t>
  </si>
  <si>
    <t>1 ferro</t>
  </si>
  <si>
    <t>2 ferros</t>
  </si>
  <si>
    <t>3 ferros</t>
  </si>
  <si>
    <t>9 ferros</t>
  </si>
  <si>
    <t>Chisel, sulcos a 35 cm</t>
  </si>
  <si>
    <t>5 braços</t>
  </si>
  <si>
    <t>7 braços</t>
  </si>
  <si>
    <t>9 braços</t>
  </si>
  <si>
    <t>11 braços</t>
  </si>
  <si>
    <t>Escarificador convencional, braços a 27 cm (articulados)</t>
  </si>
  <si>
    <t>13 braços</t>
  </si>
  <si>
    <t>15 braços</t>
  </si>
  <si>
    <t>17 braços</t>
  </si>
  <si>
    <t>19 braços</t>
  </si>
  <si>
    <t>Vibrocultor pesado, sulcos a 25 cm</t>
  </si>
  <si>
    <t>Vibrocultor ligeiro, sulcos a 10 cm</t>
  </si>
  <si>
    <t>18 braços</t>
  </si>
  <si>
    <t>22 braços</t>
  </si>
  <si>
    <t>27 braços</t>
  </si>
  <si>
    <t>36 braços</t>
  </si>
  <si>
    <t>45 braços</t>
  </si>
  <si>
    <t>54 braços</t>
  </si>
  <si>
    <t>63 braços</t>
  </si>
  <si>
    <t>Sachador, 2-6 linha a 75 cm</t>
  </si>
  <si>
    <t>1,50 m - 2 linhas</t>
  </si>
  <si>
    <t>2,25 m - 3 linhas</t>
  </si>
  <si>
    <t>3,00 m - 4 linhas</t>
  </si>
  <si>
    <t>3,75 m - 5 linhas</t>
  </si>
  <si>
    <t>4,50 m - 6 linhas</t>
  </si>
  <si>
    <t>Sachador - fertilizador, 2-6 linhas a 75 cm</t>
  </si>
  <si>
    <t>Derregador</t>
  </si>
  <si>
    <t>4 ferros</t>
  </si>
  <si>
    <t>Rolo destorroador - compressor</t>
  </si>
  <si>
    <t>1,8 m</t>
  </si>
  <si>
    <t>2,4 m</t>
  </si>
  <si>
    <t>Distribuidor de adubo, centrífugo, montado</t>
  </si>
  <si>
    <t>600 litros</t>
  </si>
  <si>
    <t>Distribuidor de adubo (600 litros), de sulcos, montado</t>
  </si>
  <si>
    <t>Distribuidor de adubo (600 litros), de linhas, montado</t>
  </si>
  <si>
    <t>4 linhas</t>
  </si>
  <si>
    <t>6 linhas</t>
  </si>
  <si>
    <t>Distribuidor de adubo, centrífugo, rebocado</t>
  </si>
  <si>
    <t>1000 litros</t>
  </si>
  <si>
    <t>2000 litros</t>
  </si>
  <si>
    <t>Semeador - fertilizador de linhas, para cereais de Outono</t>
  </si>
  <si>
    <t>4 m</t>
  </si>
  <si>
    <t>Semeador de rolos, para culturas pratenses</t>
  </si>
  <si>
    <t>Semeados - fertilizador de precisão (monogrão), pneumático</t>
  </si>
  <si>
    <t>2 linhas</t>
  </si>
  <si>
    <t>3 linhas</t>
  </si>
  <si>
    <t>5 linhas</t>
  </si>
  <si>
    <t>Polvilhador</t>
  </si>
  <si>
    <t>130 kg</t>
  </si>
  <si>
    <t>150 kg</t>
  </si>
  <si>
    <t>170 kg</t>
  </si>
  <si>
    <t>200 kg</t>
  </si>
  <si>
    <t>Pulverizador convencional, montado, barras 8-16 m</t>
  </si>
  <si>
    <t>400 litros - 8 m</t>
  </si>
  <si>
    <t>450 litros - 9 m</t>
  </si>
  <si>
    <t>530 litros - 10,5 m</t>
  </si>
  <si>
    <t>600 litros - 12 m</t>
  </si>
  <si>
    <t>800 litros - 16 m</t>
  </si>
  <si>
    <t>Pulverizador com ventilador, montado</t>
  </si>
  <si>
    <t>Pulverizador convencional, rebocado, barra 10,5-16 m</t>
  </si>
  <si>
    <t>1300 litros - 10,5 m</t>
  </si>
  <si>
    <t>1500 litros - 12 m</t>
  </si>
  <si>
    <t>1700 litros - 14 m</t>
  </si>
  <si>
    <t>2000 litros - 16</t>
  </si>
  <si>
    <t>Pulverizador com ventilador, rebocado</t>
  </si>
  <si>
    <t>1300 litros</t>
  </si>
  <si>
    <t>1500 litros</t>
  </si>
  <si>
    <t>1700 litros</t>
  </si>
  <si>
    <t>Colhedor de forragem, de martelos c/ corte simples</t>
  </si>
  <si>
    <t>1,4 m</t>
  </si>
  <si>
    <t>Colhedor de forragem, de martelos c/ corte duplo</t>
  </si>
  <si>
    <t>1,6 m</t>
  </si>
  <si>
    <t>Colhedor de forragem, de precisão com barra de corte</t>
  </si>
  <si>
    <t>2,1 m</t>
  </si>
  <si>
    <t>Colhedor de forragem, de precisão com pick-up</t>
  </si>
  <si>
    <t>Colhedor de forragem, de precisão com unidade para milho</t>
  </si>
  <si>
    <t>1 linha</t>
  </si>
  <si>
    <t>Colhedor de forragem, de precisão especial para milho</t>
  </si>
  <si>
    <t>Gadanheira de discos</t>
  </si>
  <si>
    <t>2 m</t>
  </si>
  <si>
    <t>Gadanheira convencional de facas, corte simples</t>
  </si>
  <si>
    <t>Gadanheira convencional de facas, corte duplo</t>
  </si>
  <si>
    <t>Gadanheira condicionadora, de discos e rolos, montada</t>
  </si>
  <si>
    <t>Gadanheira condicionadora, de discos e rolos, rebocada</t>
  </si>
  <si>
    <t>Virador - Juntador de fenos, com 4 discos</t>
  </si>
  <si>
    <t>Enfardadeira convencional (adicionar o custo do fio consumido)</t>
  </si>
  <si>
    <t>14 x 18''</t>
  </si>
  <si>
    <t>Enfardadeira rotativa (adicionar o custo do fio consumido)</t>
  </si>
  <si>
    <t>1,2 m (fardo)</t>
  </si>
  <si>
    <t>1,5 m (fardo)</t>
  </si>
  <si>
    <t>Reboque para colheita de forragem</t>
  </si>
  <si>
    <t>3,5 tPB</t>
  </si>
  <si>
    <t>4,5 tPB</t>
  </si>
  <si>
    <t>5,3 tPB</t>
  </si>
  <si>
    <t>7 tPB</t>
  </si>
  <si>
    <t>8 tPB</t>
  </si>
  <si>
    <t>9 tPB</t>
  </si>
  <si>
    <t>10,5 tPB</t>
  </si>
  <si>
    <t>12 tPB</t>
  </si>
  <si>
    <t>Reboque basculante, caixa metálica</t>
  </si>
  <si>
    <t>Carregador de fardos (rampa elevadora), montado</t>
  </si>
  <si>
    <t>Arrancador de batata</t>
  </si>
  <si>
    <t>Pá niveladora traseira</t>
  </si>
  <si>
    <t>Caixa niveladora</t>
  </si>
  <si>
    <t>3,5 m</t>
  </si>
  <si>
    <t>Perfuradora, montada</t>
  </si>
  <si>
    <t>12''</t>
  </si>
  <si>
    <t>Despontadora de sarmentos</t>
  </si>
  <si>
    <t>2 barras</t>
  </si>
  <si>
    <t>Triturador de vides</t>
  </si>
  <si>
    <t>Máquina de vindimar rebocada</t>
  </si>
  <si>
    <t>1400 litros</t>
  </si>
  <si>
    <t>Moto - sachador (Diesel)</t>
  </si>
  <si>
    <t>8 cv</t>
  </si>
  <si>
    <t>Motocultivador com fresa</t>
  </si>
  <si>
    <t>12 cv</t>
  </si>
  <si>
    <t>14 cv</t>
  </si>
  <si>
    <t>18 cv</t>
  </si>
  <si>
    <t>Motogadanheira</t>
  </si>
  <si>
    <t>11 cv</t>
  </si>
  <si>
    <t>Motoceifeira atadeira (Diesel)</t>
  </si>
  <si>
    <t>Motocultivador com pulverizador de 180 litros</t>
  </si>
  <si>
    <t>Colhedor de forragem automotriz, com barra de corte</t>
  </si>
  <si>
    <t>160 cv - 3,2 m</t>
  </si>
  <si>
    <t>180 cv - 3,6 m</t>
  </si>
  <si>
    <t>210 cv - 4,2 m</t>
  </si>
  <si>
    <t>240 cv - 4,8 m</t>
  </si>
  <si>
    <t>Colhedor de forragem automotriz, para milho, com 3-4 linhas</t>
  </si>
  <si>
    <t>160 cv - 3 linhas</t>
  </si>
  <si>
    <t>180 cv - 3 linhas</t>
  </si>
  <si>
    <t>210 cv - 4 linhas</t>
  </si>
  <si>
    <t>240 cv - 4 linhas</t>
  </si>
  <si>
    <t>Gadanheira condicionadora automotriz, de facas e rolos</t>
  </si>
  <si>
    <t>30 cv - 2,1 m</t>
  </si>
  <si>
    <t>45 cv - 3,2 m</t>
  </si>
  <si>
    <t>Ceifeira debulhadora automotriz, de rodas para trigo</t>
  </si>
  <si>
    <t>80 cv - 3,2 m</t>
  </si>
  <si>
    <t>90 cv - 3,6 m</t>
  </si>
  <si>
    <t>105 cv - 4,2 m</t>
  </si>
  <si>
    <t>120 cv - 4,8 m</t>
  </si>
  <si>
    <t>135 cv - 5,4 m</t>
  </si>
  <si>
    <t>150 cv - 6,0 m</t>
  </si>
  <si>
    <t>Ceifeira debulhadora automotriz, de lagartas para arroz</t>
  </si>
  <si>
    <t>80 cv - 2,7 m</t>
  </si>
  <si>
    <t>90 cv - 3,2 m</t>
  </si>
  <si>
    <t>105 cv - 3,6 m</t>
  </si>
  <si>
    <t>120 cv - 4,2 m</t>
  </si>
  <si>
    <t>135 cv - 4,8 m</t>
  </si>
  <si>
    <t>150 cv - 5,4 m</t>
  </si>
  <si>
    <t>Ceifeira debulhadora automotriz, de rodas para milho, 3-6 linhas</t>
  </si>
  <si>
    <t>80 cv - 3 linhas</t>
  </si>
  <si>
    <t>90 cv - 4 linhas</t>
  </si>
  <si>
    <t>105 cv - 4 linhas</t>
  </si>
  <si>
    <t>120 cv - 5 linhas</t>
  </si>
  <si>
    <t>135 cv - 5 linhas</t>
  </si>
  <si>
    <t>150 cv - 6 linhas</t>
  </si>
  <si>
    <t>Máquina de vindimar automotriz</t>
  </si>
  <si>
    <t>80 cv - 2000 litros</t>
  </si>
  <si>
    <t>105 cv - 2300 litros</t>
  </si>
  <si>
    <t>Colhedor automotriz de batata</t>
  </si>
  <si>
    <t>120 cv - 2t</t>
  </si>
  <si>
    <t>Atenção - Para as 3 primeiras colunas da tabela do IHERA utiliza-se VUtil=10 e para a 4ª 8 anos</t>
  </si>
  <si>
    <t>Equipamentos de tracção</t>
  </si>
  <si>
    <t>TxJuros(%):</t>
  </si>
  <si>
    <t>TSR (%):</t>
  </si>
  <si>
    <t>CCb(l/cv.h):</t>
  </si>
  <si>
    <t>PrCb(€/L):</t>
  </si>
  <si>
    <t>CLb(l/cv.h):</t>
  </si>
  <si>
    <t>PrLb(€/L):</t>
  </si>
  <si>
    <t>PrPn(€):</t>
  </si>
  <si>
    <t>DrPn(h):</t>
  </si>
  <si>
    <t>Rp (%):</t>
  </si>
  <si>
    <t>Man(%Rp):</t>
  </si>
  <si>
    <t>Cond(€/h):</t>
  </si>
  <si>
    <t>ValAtr-</t>
  </si>
  <si>
    <t>ValRef-</t>
  </si>
  <si>
    <t>Designação</t>
  </si>
  <si>
    <t>Pot</t>
  </si>
  <si>
    <t>PrRef</t>
  </si>
  <si>
    <t>PrAtr</t>
  </si>
  <si>
    <t>Amort</t>
  </si>
  <si>
    <t>Sg+Rc</t>
  </si>
  <si>
    <t>EF</t>
  </si>
  <si>
    <t>CtCb</t>
  </si>
  <si>
    <t>CtLb</t>
  </si>
  <si>
    <t>CtPn</t>
  </si>
  <si>
    <t>CtRp</t>
  </si>
  <si>
    <t>CtMn</t>
  </si>
  <si>
    <t>CtCd</t>
  </si>
  <si>
    <t>EV</t>
  </si>
  <si>
    <t>Tractor 2RM</t>
  </si>
  <si>
    <t>Tractor 4RM</t>
  </si>
  <si>
    <t>Tractor rastos</t>
  </si>
  <si>
    <t>Tratores 
(dados principais):</t>
  </si>
  <si>
    <t>Cto Referência
(€)</t>
  </si>
  <si>
    <t>Ctos Var.
(€/un) / h</t>
  </si>
  <si>
    <t>Ctos / h
(€/h)</t>
  </si>
  <si>
    <t>Trator 53 cv (39 kW)
LinhaNº4 (IHERA)</t>
  </si>
  <si>
    <t>Trator 45 cv (33 kW)
LinhaNº3 (IHERA)</t>
  </si>
  <si>
    <t>Cto Atribuidos
(€)</t>
  </si>
  <si>
    <t>Trator 53 cv</t>
  </si>
  <si>
    <t>Trator 45 cv</t>
  </si>
  <si>
    <t>Potência (cv)</t>
  </si>
  <si>
    <t>Vida útil (anos)</t>
  </si>
  <si>
    <t>Taxa de juros (%)
(tratores_equip)</t>
  </si>
  <si>
    <t>Taxa Seg + Rec (%)
(equip. motorizado)</t>
  </si>
  <si>
    <t>Cs Comb (l/cv.h)</t>
  </si>
  <si>
    <t>Pr. Comb. (€/h)</t>
  </si>
  <si>
    <t>Cs.Lub. (l/cv.h)</t>
  </si>
  <si>
    <t>Pr. Lub (€/h)</t>
  </si>
  <si>
    <t>Pr. Pneus (€)</t>
  </si>
  <si>
    <t>Duração Pneus (h)</t>
  </si>
  <si>
    <t>Taxa de reparação (%)</t>
  </si>
  <si>
    <t>Manut. (€/h) (inclui MO)
(% da reparação)</t>
  </si>
  <si>
    <t>Condução (€/h))</t>
  </si>
  <si>
    <t>Ctos Fixos 
(€/un) / h</t>
  </si>
  <si>
    <t>h / ano</t>
  </si>
  <si>
    <t>PJP 300 l  (Tr 45 cv)
LinhaNº125 (IHERA)</t>
  </si>
  <si>
    <t>Semi-R. 5000 kg  (Tr 53 cv)
LinhaNº164 (IHERA)</t>
  </si>
  <si>
    <t>Semi-R. 5000 kg  (Tr 45 cv)
LinhaNº164 (IHERA)</t>
  </si>
  <si>
    <t>h/cult</t>
  </si>
  <si>
    <t>Fcr*</t>
  </si>
  <si>
    <t>Herbicida (L)</t>
  </si>
  <si>
    <t>Pesticida 1 (L)</t>
  </si>
  <si>
    <t>Pesticida 2 (L)</t>
  </si>
  <si>
    <t>Adubo 1 (N) (kg)</t>
  </si>
  <si>
    <t>Adubo 2 (K2O) (kg)</t>
  </si>
  <si>
    <t>Adubo 3 (N) (kg)</t>
  </si>
  <si>
    <t>Outros dados:</t>
  </si>
  <si>
    <t>CF (500h)
(€/un) / h</t>
  </si>
  <si>
    <t>CV(500 h)
(€/un) / h</t>
  </si>
  <si>
    <t>Ct/h (500h)
(€/h)</t>
  </si>
  <si>
    <t>Prépodadora</t>
  </si>
  <si>
    <t xml:space="preserve">   Prépodadora</t>
  </si>
  <si>
    <t>Vinha</t>
  </si>
  <si>
    <t>Prepodadora (Tr 53 cv)
LinhaNº232 (IHERA)</t>
  </si>
  <si>
    <t>Escarificador  (Tr 53 cv)
LinhaNº65 (IHERA)</t>
  </si>
  <si>
    <t xml:space="preserve">   Escarificador vinhateiro</t>
  </si>
  <si>
    <t>2.0 - 5.0</t>
  </si>
  <si>
    <t>Pulv 1 (Tr 53 cv)
LinhaNº130 (IHERA)</t>
  </si>
  <si>
    <t xml:space="preserve">Trabalhadores 
permanentes </t>
  </si>
  <si>
    <t>Pulv 2 (Tr 45 cv)
LinhaNº130 (IHERA)</t>
  </si>
  <si>
    <t>Despontadora  (Tr 45 cv)
LinhaNº241 (IHERA)</t>
  </si>
  <si>
    <t xml:space="preserve">   Despontadora</t>
  </si>
  <si>
    <t>Semi-R. 5000 kg  (Tr 53 cv)
LinhaNº173 (IHERA)</t>
  </si>
  <si>
    <t>Semi-R. 5000 kg  (Tr 45 cv)
LinhaNº173 (IHERA)</t>
  </si>
  <si>
    <t>5.0 - 10.0</t>
  </si>
  <si>
    <t xml:space="preserve">   Reboque / Semi-reboque / Caixa de carga (vinha)</t>
  </si>
  <si>
    <t>Triturador de erva (vinha)</t>
  </si>
  <si>
    <t>Triturador de erva (Tr 45)
LinhaNº234 (IHERA)</t>
  </si>
  <si>
    <t>Entrelinha (m)</t>
  </si>
  <si>
    <t xml:space="preserve">   Triturador de erva</t>
  </si>
  <si>
    <t xml:space="preserve">   Triturador de sarmentos</t>
  </si>
  <si>
    <t>Reboques</t>
  </si>
  <si>
    <t>Tratores da exploração</t>
  </si>
  <si>
    <t>Triturador de sarmentos (vinha)</t>
  </si>
  <si>
    <t>Trit.de sarmentos (Tr 45 cv)
LinhaNº235 (IHERA)</t>
  </si>
  <si>
    <t>TOTAL &gt;</t>
  </si>
  <si>
    <t>Trit.sarmentos (Tr 45 cv)
LinhaNº235 (IHERA)</t>
  </si>
  <si>
    <t>Despontadora  (Tr 45 cv)
LinhaNº241(IHERA)</t>
  </si>
  <si>
    <t>Totais &gt;</t>
  </si>
  <si>
    <t>Resultados finais</t>
  </si>
  <si>
    <t>TRATORES</t>
  </si>
  <si>
    <t>PARCELA 1</t>
  </si>
  <si>
    <t>PARCELA 2</t>
  </si>
  <si>
    <t>Área &gt;</t>
  </si>
  <si>
    <t>Pest.1</t>
  </si>
  <si>
    <t>Pest.2</t>
  </si>
  <si>
    <t>(unid/ha)</t>
  </si>
  <si>
    <t>Adubos1</t>
  </si>
  <si>
    <t>Adubos2</t>
  </si>
  <si>
    <t>Adubos3</t>
  </si>
  <si>
    <t>Calcáreo</t>
  </si>
  <si>
    <t>Pesticidas</t>
  </si>
  <si>
    <t>TOTAL DAS PARCELAS</t>
  </si>
  <si>
    <t>5- EQUIPAMENTOS VITÍCOLAS</t>
  </si>
  <si>
    <t>Vindima (kg/h)</t>
  </si>
  <si>
    <t>vindima</t>
  </si>
  <si>
    <t>Horas / dia de trabalho</t>
  </si>
  <si>
    <t>Nº de MO_tp
(contratar)</t>
  </si>
  <si>
    <t>MO Temporária</t>
  </si>
  <si>
    <t>MO permanente</t>
  </si>
  <si>
    <t>MO temporária</t>
  </si>
  <si>
    <t>Trat_TOTAL (h)</t>
  </si>
  <si>
    <t>Equip_TOTAL (h)</t>
  </si>
  <si>
    <t>MO_tp_TOTAL (h)</t>
  </si>
  <si>
    <t>MO_pm_TOTAL (h)</t>
  </si>
  <si>
    <t>Equip_TOTAL</t>
  </si>
  <si>
    <t>MO_pm_TOTAL</t>
  </si>
  <si>
    <t>MO_tp_TOTAL</t>
  </si>
  <si>
    <t>Salário 
(€/mês)</t>
  </si>
  <si>
    <t>Sg. Social
(%)</t>
  </si>
  <si>
    <t xml:space="preserve">Tratorista </t>
  </si>
  <si>
    <t xml:space="preserve">h / ano </t>
  </si>
  <si>
    <t>Sal+SS 
(€/mês)</t>
  </si>
  <si>
    <t>(unid)</t>
  </si>
  <si>
    <t>100 - 150</t>
  </si>
  <si>
    <t>Cto/h
(€/h)</t>
  </si>
  <si>
    <t>Nº Ref</t>
  </si>
  <si>
    <t>Nº Atr</t>
  </si>
  <si>
    <t>Nº Ref.</t>
  </si>
  <si>
    <t>NºAtr</t>
  </si>
  <si>
    <t>PrAtr.</t>
  </si>
  <si>
    <t>TxJ.Atr(%)-</t>
  </si>
  <si>
    <t>TxJ.Ref(%)-</t>
  </si>
  <si>
    <t>Cultura da vinha</t>
  </si>
  <si>
    <t>Área da parcela 1 (ha) &gt;</t>
  </si>
  <si>
    <t>Área da parcela 2 (ha) &gt;</t>
  </si>
  <si>
    <t>Cálcareo (kg)</t>
  </si>
  <si>
    <t>Tratores_Eq.Mot_Reb
(outros dados)</t>
  </si>
  <si>
    <t>Equip. 
Motorizados</t>
  </si>
  <si>
    <t>Armazém
Cto_área_coberta (€/m2)</t>
  </si>
  <si>
    <t>Hangar
Cto_área_coberta (€/m2)</t>
  </si>
  <si>
    <t>poda</t>
  </si>
  <si>
    <t>Mão-de-obra
(tp_especializada)</t>
  </si>
  <si>
    <t>Mão-de-obra
(tp_n/especializada)</t>
  </si>
  <si>
    <t>enrola</t>
  </si>
  <si>
    <t>Mão-de-obra
(permanente (pm))</t>
  </si>
  <si>
    <t xml:space="preserve">h/ha/ano </t>
  </si>
  <si>
    <t>125</t>
  </si>
  <si>
    <t>100</t>
  </si>
  <si>
    <t>Vindima (h/ha)</t>
  </si>
  <si>
    <t>Poda (h/ha)</t>
  </si>
  <si>
    <t>Enrola (h/ha)</t>
  </si>
  <si>
    <t>Trator_TOTAL</t>
  </si>
  <si>
    <t>TOTAL (€/ha) &gt;</t>
  </si>
  <si>
    <t>TOTAL (€/ano) &gt;</t>
  </si>
  <si>
    <t>Área Tt &gt;</t>
  </si>
  <si>
    <t>CV(€/ha)</t>
  </si>
  <si>
    <t>CF(€/ha)</t>
  </si>
  <si>
    <t>C/h
(Eq.)</t>
  </si>
  <si>
    <t>Ct/ano
(Eq)</t>
  </si>
  <si>
    <t>C/h
(Tr)</t>
  </si>
  <si>
    <t>Ct/ano
(tr)</t>
  </si>
  <si>
    <t>C/h
(o.c.)</t>
  </si>
  <si>
    <t>Ct/ano
(oc)</t>
  </si>
  <si>
    <t>TOT
(h/ano)</t>
  </si>
  <si>
    <t>MO_pm _ MO_tp</t>
  </si>
  <si>
    <t xml:space="preserve">     MÃO DE OBRA (permanente e temporária)</t>
  </si>
  <si>
    <t>MO_pm_tratorista</t>
  </si>
  <si>
    <t>MO_pm (trab_perm)</t>
  </si>
  <si>
    <t>MO_tp_poda</t>
  </si>
  <si>
    <t>MO_tp_enrola</t>
  </si>
  <si>
    <t>MO_tp_vindima</t>
  </si>
  <si>
    <t>Equipamentos</t>
  </si>
  <si>
    <t>Tratores</t>
  </si>
  <si>
    <t xml:space="preserve">TOTAIS </t>
  </si>
  <si>
    <t>MO permanente (CF) &gt;</t>
  </si>
  <si>
    <t>MO temporária (CV) &gt;</t>
  </si>
  <si>
    <t>Ct(€/ha)</t>
  </si>
  <si>
    <t>h / ano
(corr)</t>
  </si>
  <si>
    <t>Ctos Fixos
(€/h)</t>
  </si>
  <si>
    <t>Ctos Var.
(€/h)</t>
  </si>
  <si>
    <t>Nº 
pessoas</t>
  </si>
  <si>
    <t>h/ha
pessoa</t>
  </si>
  <si>
    <t>Nº dias
ha</t>
  </si>
  <si>
    <t>Cto 
(€/h)</t>
  </si>
  <si>
    <t>Cto 
(€/ha)</t>
  </si>
  <si>
    <t>Cto 
(€/Un)</t>
  </si>
  <si>
    <t>Unidades
ha</t>
  </si>
  <si>
    <t>Cto 
(€/Ano)</t>
  </si>
  <si>
    <t>VU
(anos)</t>
  </si>
  <si>
    <t xml:space="preserve">Valores de referência </t>
  </si>
  <si>
    <t>Cto/ha
(€/ano/ha)</t>
  </si>
  <si>
    <t>Dias de trabalho /mês</t>
  </si>
  <si>
    <t>Cto 
(€/ano)</t>
  </si>
  <si>
    <t>Cto
(€/ha)</t>
  </si>
  <si>
    <t>Cto
(€/ano)</t>
  </si>
  <si>
    <t>Fcr*- O fator de correção permite estimar o nº de h/ano de utilização do equipamento na exploração.</t>
  </si>
  <si>
    <t>CF($/ano)</t>
  </si>
  <si>
    <t>CV(€/ano)</t>
  </si>
  <si>
    <t>Total (€/ano) &gt;</t>
  </si>
  <si>
    <t>Nº dias/ha</t>
  </si>
  <si>
    <t>nº aplic</t>
  </si>
  <si>
    <t>Herbic1</t>
  </si>
  <si>
    <t>Salários 
(€/ano)</t>
  </si>
  <si>
    <t>E.F.</t>
  </si>
  <si>
    <t>€/ano</t>
  </si>
  <si>
    <t>E.V.</t>
  </si>
  <si>
    <t>Totais</t>
  </si>
  <si>
    <t>Utilização
anual s/r</t>
  </si>
  <si>
    <t>Utilização
anual c/r</t>
  </si>
  <si>
    <t>Ct(€/ano)</t>
  </si>
  <si>
    <t>Tratores:</t>
  </si>
  <si>
    <t>CV
(€/ano)</t>
  </si>
  <si>
    <t>CF
(€/ano)</t>
  </si>
  <si>
    <t>Custos anuais</t>
  </si>
  <si>
    <t>Resultados económocos</t>
  </si>
  <si>
    <t>Total equip.&gt;</t>
  </si>
  <si>
    <t>Total tratores &gt;</t>
  </si>
  <si>
    <t xml:space="preserve">Tratorista(s) </t>
  </si>
  <si>
    <t>Mão-de-obra
(temporária_especializada)</t>
  </si>
  <si>
    <t>Mão-de-obra
(temporária_n/ especializada)</t>
  </si>
  <si>
    <t>Outros BF:</t>
  </si>
  <si>
    <t>Outros BV:</t>
  </si>
  <si>
    <t>TOTAIS (€/ano)</t>
  </si>
  <si>
    <t>Produção final (kg) &gt;</t>
  </si>
  <si>
    <t>Quebras &gt;</t>
  </si>
  <si>
    <t>Produção final corrigida (kg) &gt;</t>
  </si>
  <si>
    <t>Lucro / perda
(RB - CT)</t>
  </si>
  <si>
    <t>Cto/kg (€/kg) &gt;</t>
  </si>
  <si>
    <t>Cto/kg-Ref. (€/kg) &gt;</t>
  </si>
  <si>
    <t>Rendimento Bruto (RB) (€/ano) &gt;
(preço x prod. corrigida)</t>
  </si>
  <si>
    <t>Margem bruta (MB) (€/ano) &gt;
(RB - CV)</t>
  </si>
  <si>
    <t>h/ano/un</t>
  </si>
  <si>
    <t>Herbicidas</t>
  </si>
  <si>
    <t>CT (CF+CV)
(€/ano)</t>
  </si>
  <si>
    <t>E.F.+E.V.</t>
  </si>
  <si>
    <t>E.F.+E.V</t>
  </si>
  <si>
    <t>RESULTADOS DA PARCELA 1 (6 ha)</t>
  </si>
  <si>
    <t>RESULTADOS DA PARCELA 2 (3 ha)</t>
  </si>
  <si>
    <t>Totais Equipamentos</t>
  </si>
  <si>
    <t>Valores utilizados / determinados</t>
  </si>
  <si>
    <t>OPERAÇÕES CULTURAIS / EQUIPAMENTOS</t>
  </si>
  <si>
    <t>Características da alfaia</t>
  </si>
  <si>
    <t>Res.esp.do solo</t>
  </si>
  <si>
    <t>Vel. Trab.</t>
  </si>
  <si>
    <t>FTr - Bin</t>
  </si>
  <si>
    <t>Rd (Tr-TDF)</t>
  </si>
  <si>
    <t>Potência</t>
  </si>
  <si>
    <t>NºUn - Cap</t>
  </si>
  <si>
    <t>Lg Un. (m)</t>
  </si>
  <si>
    <t>Lg Tr (m)</t>
  </si>
  <si>
    <t>Pr Tr (m)</t>
  </si>
  <si>
    <t>(N/dm2)</t>
  </si>
  <si>
    <t>km/h</t>
  </si>
  <si>
    <t xml:space="preserve"> kN - mN</t>
  </si>
  <si>
    <t>c.v.</t>
  </si>
  <si>
    <t>kW</t>
  </si>
  <si>
    <t>Lavouras</t>
  </si>
  <si>
    <t>Charrua - aiveca</t>
  </si>
  <si>
    <t>Charrua - discos</t>
  </si>
  <si>
    <t>Subsolagem</t>
  </si>
  <si>
    <t>Subsolador</t>
  </si>
  <si>
    <t>Escarificação</t>
  </si>
  <si>
    <t>Escarificador</t>
  </si>
  <si>
    <t>Vibrocultor</t>
  </si>
  <si>
    <t>Rolagem</t>
  </si>
  <si>
    <t>Rolo</t>
  </si>
  <si>
    <t>Gradagem</t>
  </si>
  <si>
    <t>Grade de dentes</t>
  </si>
  <si>
    <t>Grade discos montada</t>
  </si>
  <si>
    <t>2C 16D</t>
  </si>
  <si>
    <t>2C 18 D</t>
  </si>
  <si>
    <t>Grade discos - off-set</t>
  </si>
  <si>
    <t>18 D</t>
  </si>
  <si>
    <t>20 D</t>
  </si>
  <si>
    <t>24 D</t>
  </si>
  <si>
    <t>Grade discos rebocada</t>
  </si>
  <si>
    <t>28 D</t>
  </si>
  <si>
    <t>30 D</t>
  </si>
  <si>
    <t>36 D</t>
  </si>
  <si>
    <t>Grade discos "tandem"</t>
  </si>
  <si>
    <t>4C 32 D</t>
  </si>
  <si>
    <t>4C 36 D</t>
  </si>
  <si>
    <t>4C 40 D</t>
  </si>
  <si>
    <t>Fresagem</t>
  </si>
  <si>
    <t>Fresa</t>
  </si>
  <si>
    <t>Sacha</t>
  </si>
  <si>
    <t>Sachador (2 L)</t>
  </si>
  <si>
    <t>(3 L)</t>
  </si>
  <si>
    <t>(4 L)</t>
  </si>
  <si>
    <t>(5 L)</t>
  </si>
  <si>
    <t>(6 L)</t>
  </si>
  <si>
    <t>Distribuidores  e localizadores de adubos</t>
  </si>
  <si>
    <t>Distribuidores  tipo clássico</t>
  </si>
  <si>
    <t>Distribuidores montados (200 L)</t>
  </si>
  <si>
    <t>(300 L)</t>
  </si>
  <si>
    <t>(400 L)</t>
  </si>
  <si>
    <t>(600 L)</t>
  </si>
  <si>
    <t>Distribuidores rebocados (1000 L)</t>
  </si>
  <si>
    <t>(2000 L)</t>
  </si>
  <si>
    <t>(3000 L)</t>
  </si>
  <si>
    <t>(4000 L)</t>
  </si>
  <si>
    <t>Localizadores (1 L)</t>
  </si>
  <si>
    <t>(2 L)</t>
  </si>
  <si>
    <t>Sementeira</t>
  </si>
  <si>
    <t>Semeadores em linhas</t>
  </si>
  <si>
    <t>Semeadores monogrão (4L)</t>
  </si>
  <si>
    <t>4 L</t>
  </si>
  <si>
    <t>6 L</t>
  </si>
  <si>
    <t>(8 L)</t>
  </si>
  <si>
    <t>8 L</t>
  </si>
  <si>
    <t>Sementeira Directa</t>
  </si>
  <si>
    <t>Semavator</t>
  </si>
  <si>
    <t>Plantação de Batata</t>
  </si>
  <si>
    <t>Plantador de batata (2 L)</t>
  </si>
  <si>
    <t>Pulverizadores</t>
  </si>
  <si>
    <t>Pulverizadores montados (200 L)</t>
  </si>
  <si>
    <t>Pulverizadores rebocados (1000 L)</t>
  </si>
  <si>
    <t>(1500 L)</t>
  </si>
  <si>
    <t>Gadanheiras</t>
  </si>
  <si>
    <t>Gadanheiras  barra de corte</t>
  </si>
  <si>
    <t xml:space="preserve">Gad.condicionadoras com barra de corte </t>
  </si>
  <si>
    <t>Gadanheiras rotativas de discos</t>
  </si>
  <si>
    <t>Gadanheiras rotativas de tambores (2 T)</t>
  </si>
  <si>
    <t>(4 T)</t>
  </si>
  <si>
    <t>Viradores juntadores</t>
  </si>
  <si>
    <t>Virador juntador de tambor</t>
  </si>
  <si>
    <t>Virador juntador girassol</t>
  </si>
  <si>
    <t>Enfardadeiras</t>
  </si>
  <si>
    <t>Enfardadeiras volantes de média pressão</t>
  </si>
  <si>
    <t>Enfardadeiras volantes de alta pressão</t>
  </si>
  <si>
    <t>Enfardadeiras de fardos redondos</t>
  </si>
  <si>
    <t>Colhedores de forragens</t>
  </si>
  <si>
    <t>Colhedor de facas de corte simples</t>
  </si>
  <si>
    <t>Colhedor de faca de corte duplo</t>
  </si>
  <si>
    <t>Colhedor de milho (1 L)</t>
  </si>
  <si>
    <t>Máquina de desensilar</t>
  </si>
  <si>
    <t>Colheita de Beterraba</t>
  </si>
  <si>
    <t>Descoroador</t>
  </si>
  <si>
    <t>Arrancador-alinhador</t>
  </si>
  <si>
    <t>Colheita da Batata</t>
  </si>
  <si>
    <t>Arrancador (1 L)</t>
  </si>
  <si>
    <t>Colheita de Cereais</t>
  </si>
  <si>
    <t>Ceifeira debulhadora à t.d.f.</t>
  </si>
  <si>
    <t>Trituradores de residuos</t>
  </si>
  <si>
    <t>Trituradores</t>
  </si>
  <si>
    <t>Reboques (3.5 T)</t>
  </si>
  <si>
    <t>(4.5 T)</t>
  </si>
  <si>
    <t>(5.3 T)</t>
  </si>
  <si>
    <t>(6.0 T)</t>
  </si>
  <si>
    <t>(7.0 T)</t>
  </si>
  <si>
    <t>(8.0 T)</t>
  </si>
  <si>
    <t>(9.0 T)</t>
  </si>
  <si>
    <t>(10.5 T)</t>
  </si>
  <si>
    <t>(12.5 T)</t>
  </si>
  <si>
    <t>ENCARGOS ANUAIS COM REPARAÇÕES</t>
  </si>
  <si>
    <t>TIPO DE MATEIAL</t>
  </si>
  <si>
    <t>( % DO VALOR EM NOVO )</t>
  </si>
  <si>
    <t>Charruas, escarificadores, vibrocultores, charruas-grade</t>
  </si>
  <si>
    <t xml:space="preserve">0,07  </t>
  </si>
  <si>
    <t>Grades de discos e de bicos</t>
  </si>
  <si>
    <t xml:space="preserve">0,05  </t>
  </si>
  <si>
    <t>Crosskill</t>
  </si>
  <si>
    <t xml:space="preserve">0,01  </t>
  </si>
  <si>
    <t>Rolos</t>
  </si>
  <si>
    <t>Sachadores</t>
  </si>
  <si>
    <t>Amontoadores</t>
  </si>
  <si>
    <t>Material para tratamento fitossanitário</t>
  </si>
  <si>
    <t>Distribuidores de adubos</t>
  </si>
  <si>
    <t>Semeadores</t>
  </si>
  <si>
    <t xml:space="preserve">0,03  </t>
  </si>
  <si>
    <t>Plantadores</t>
  </si>
  <si>
    <t xml:space="preserve">0,04  </t>
  </si>
  <si>
    <t>Viradores</t>
  </si>
  <si>
    <t xml:space="preserve">0,02  </t>
  </si>
  <si>
    <t>Viradores-juntadores</t>
  </si>
  <si>
    <t>Colhedores-recortadores</t>
  </si>
  <si>
    <t xml:space="preserve">0,08  </t>
  </si>
  <si>
    <t>Enfardadeira</t>
  </si>
  <si>
    <t>Ceifeiras-debulhadoras</t>
  </si>
  <si>
    <t>Arrancadores</t>
  </si>
  <si>
    <t xml:space="preserve">0,1  </t>
  </si>
  <si>
    <t>Espalhadores de estrume</t>
  </si>
  <si>
    <t>Pás hidráulicas</t>
  </si>
  <si>
    <t>Veículos agrários</t>
  </si>
  <si>
    <t>---</t>
  </si>
  <si>
    <t>Tractores diesel a rodas (40-60cv;30-45kW)</t>
  </si>
  <si>
    <t>Análise de encargos com a utilização das máquinas agrícolas". IHERA</t>
  </si>
  <si>
    <t>Índice das folhas do livro</t>
  </si>
  <si>
    <t>Dados</t>
  </si>
  <si>
    <t>Potência vs equipamentos</t>
  </si>
  <si>
    <t>Pré-podadora</t>
  </si>
  <si>
    <t>Pot. Necessária
(cv)</t>
  </si>
  <si>
    <t>Pot. Atribuída 
(cv)</t>
  </si>
  <si>
    <t>Pulv300L (Tr 45 cv)
LinhaNº130 (IHERA)</t>
  </si>
  <si>
    <t>PJP300L  (Tr 45 cv)
LinhaNº125 (IHERA)</t>
  </si>
  <si>
    <t>Pulv400L (Tr 53 cv)
LinhaNº130 (IHERA)</t>
  </si>
  <si>
    <t>Semi-R. 4T  (Tr 45 cv)
LinhaNº173 (IHERA)</t>
  </si>
  <si>
    <t>Semi-R.4T kg  (Tr 53 cv)
LinhaNº173 (IHERA)</t>
  </si>
  <si>
    <t>Horas/ano</t>
  </si>
  <si>
    <t>Cto_Eq</t>
  </si>
  <si>
    <t>EquipPot</t>
  </si>
  <si>
    <t>Cto_Trat</t>
  </si>
  <si>
    <t>MOEqTr</t>
  </si>
  <si>
    <t>Cto_OpCt</t>
  </si>
  <si>
    <t>Cal_Cult</t>
  </si>
  <si>
    <t>Cto_Outros</t>
  </si>
  <si>
    <t>Cto_Fin_RE</t>
  </si>
  <si>
    <t>IHERA_Trat</t>
  </si>
  <si>
    <t>Vel_Ec</t>
  </si>
  <si>
    <t>Potencias</t>
  </si>
  <si>
    <t>Reparações</t>
  </si>
  <si>
    <t>Valores de referência, valores utilizados e dados determinados</t>
  </si>
  <si>
    <t>Rendimento em trabalho dos equipamentos e seus custos</t>
  </si>
  <si>
    <t>Potência necessária para cada um dos equipamentos</t>
  </si>
  <si>
    <t>Custos dos tratores</t>
  </si>
  <si>
    <t>Custos das MO, equipamentos e tratores</t>
  </si>
  <si>
    <t>Custos das operações culturais</t>
  </si>
  <si>
    <t>Calendário cultural</t>
  </si>
  <si>
    <t>Outros custos</t>
  </si>
  <si>
    <t>Custos finais e resultados económicos</t>
  </si>
  <si>
    <t>Tabela do IHERA relativa aos tratores</t>
  </si>
  <si>
    <t>IHERA_Equi</t>
  </si>
  <si>
    <t>Tabela do IHERA relativa aos equipamentos</t>
  </si>
  <si>
    <t>Tabela de velocidades e eficiências de campo</t>
  </si>
  <si>
    <t>Tabela das potências necessárias para diferentes equipamentos</t>
  </si>
  <si>
    <t>Tabela com as taxas de reparação</t>
  </si>
  <si>
    <t>Índice</t>
  </si>
  <si>
    <t>Total Equip &gt;</t>
  </si>
  <si>
    <t>Total Trator &gt;</t>
  </si>
  <si>
    <t>TRATOR53</t>
  </si>
  <si>
    <t>TRATOR45</t>
  </si>
  <si>
    <t>Custos das várias operações culturais
(trator + equipamento)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</si>
</sst>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8" x14ac:knownFonts="1">
    <font>
      <sz val="10"/>
      <color theme="1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MS Sans Serif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9"/>
      <name val="Arial"/>
      <family val="2"/>
    </font>
    <font>
      <sz val="8"/>
      <name val="Arial"/>
      <family val="2"/>
    </font>
    <font>
      <sz val="8"/>
      <name val="MS Sans Serif"/>
    </font>
    <font>
      <sz val="8"/>
      <name val="MS Sans Serif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MS Sans Serif"/>
    </font>
    <font>
      <b/>
      <sz val="12"/>
      <name val="Calibri"/>
      <family val="2"/>
    </font>
    <font>
      <u/>
      <sz val="10"/>
      <color theme="1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u/>
      <sz val="10"/>
      <color theme="10"/>
      <name val="Calibri"/>
      <family val="2"/>
    </font>
    <font>
      <b/>
      <u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" fillId="0" borderId="0"/>
  </cellStyleXfs>
  <cellXfs count="497">
    <xf numFmtId="0" fontId="0" fillId="0" borderId="0" xfId="0"/>
    <xf numFmtId="0" fontId="0" fillId="0" borderId="0" xfId="0" applyFont="1" applyBorder="1" applyAlignment="1">
      <alignment vertical="center"/>
    </xf>
    <xf numFmtId="164" fontId="3" fillId="0" borderId="0" xfId="2" applyNumberFormat="1" applyFont="1" applyBorder="1" applyAlignment="1">
      <alignment horizontal="center" vertical="center"/>
    </xf>
    <xf numFmtId="1" fontId="3" fillId="0" borderId="0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vertical="center"/>
    </xf>
    <xf numFmtId="2" fontId="6" fillId="0" borderId="0" xfId="0" applyNumberFormat="1" applyFont="1" applyAlignment="1" applyProtection="1">
      <alignment horizontal="center" vertical="center"/>
    </xf>
    <xf numFmtId="2" fontId="16" fillId="0" borderId="0" xfId="1" applyNumberFormat="1" applyAlignment="1" applyProtection="1">
      <alignment horizontal="center" vertical="center"/>
    </xf>
    <xf numFmtId="1" fontId="16" fillId="0" borderId="0" xfId="1" applyNumberFormat="1" applyAlignment="1" applyProtection="1">
      <alignment horizontal="center" vertical="center"/>
    </xf>
    <xf numFmtId="1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9" fillId="0" borderId="0" xfId="0" applyNumberFormat="1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0" xfId="0" applyNumberFormat="1" applyFont="1" applyFill="1" applyAlignment="1" applyProtection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0" fillId="0" borderId="0" xfId="0" applyNumberFormat="1" applyFont="1" applyAlignment="1">
      <alignment vertical="center"/>
    </xf>
    <xf numFmtId="1" fontId="9" fillId="0" borderId="0" xfId="0" applyNumberFormat="1" applyFont="1" applyFill="1" applyAlignment="1" applyProtection="1">
      <alignment horizontal="center" vertical="center"/>
    </xf>
    <xf numFmtId="1" fontId="9" fillId="2" borderId="0" xfId="0" applyNumberFormat="1" applyFont="1" applyFill="1" applyAlignment="1" applyProtection="1">
      <alignment horizontal="center" vertical="center"/>
    </xf>
    <xf numFmtId="1" fontId="9" fillId="3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165" fontId="9" fillId="0" borderId="0" xfId="0" applyNumberFormat="1" applyFont="1" applyFill="1" applyAlignment="1" applyProtection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horizontal="center"/>
    </xf>
    <xf numFmtId="1" fontId="9" fillId="0" borderId="0" xfId="0" applyNumberFormat="1" applyFont="1" applyFill="1" applyAlignment="1" applyProtection="1">
      <alignment horizontal="center"/>
    </xf>
    <xf numFmtId="2" fontId="9" fillId="0" borderId="0" xfId="0" applyNumberFormat="1" applyFont="1" applyFill="1" applyAlignment="1" applyProtection="1">
      <alignment horizontal="center"/>
    </xf>
    <xf numFmtId="2" fontId="6" fillId="0" borderId="0" xfId="0" applyNumberFormat="1" applyFont="1" applyFill="1" applyAlignment="1" applyProtection="1">
      <alignment horizontal="center"/>
    </xf>
    <xf numFmtId="0" fontId="0" fillId="0" borderId="0" xfId="0" applyFill="1"/>
    <xf numFmtId="1" fontId="9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9" fillId="0" borderId="0" xfId="0" applyFont="1" applyFill="1"/>
    <xf numFmtId="1" fontId="12" fillId="0" borderId="0" xfId="0" applyNumberFormat="1" applyFont="1" applyFill="1" applyAlignment="1" applyProtection="1">
      <alignment horizontal="center" vertical="center"/>
    </xf>
    <xf numFmtId="1" fontId="12" fillId="0" borderId="0" xfId="0" applyNumberFormat="1" applyFont="1" applyFill="1" applyAlignment="1" applyProtection="1">
      <alignment horizontal="center" vertical="center" wrapText="1"/>
    </xf>
    <xf numFmtId="2" fontId="9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16" fontId="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 wrapText="1"/>
    </xf>
    <xf numFmtId="0" fontId="8" fillId="0" borderId="0" xfId="0" applyFont="1" applyBorder="1"/>
    <xf numFmtId="16" fontId="8" fillId="0" borderId="0" xfId="0" quotePrefix="1" applyNumberFormat="1" applyFont="1" applyBorder="1" applyAlignment="1">
      <alignment horizontal="center" vertical="center" wrapText="1"/>
    </xf>
    <xf numFmtId="17" fontId="18" fillId="0" borderId="0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4" fontId="9" fillId="0" borderId="0" xfId="0" applyNumberFormat="1" applyFont="1" applyFill="1" applyAlignment="1">
      <alignment horizontal="left" vertical="center"/>
    </xf>
    <xf numFmtId="2" fontId="9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65" fontId="19" fillId="0" borderId="0" xfId="0" applyNumberFormat="1" applyFont="1" applyFill="1" applyAlignment="1">
      <alignment horizontal="center" vertical="center"/>
    </xf>
    <xf numFmtId="2" fontId="19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4" fontId="17" fillId="0" borderId="0" xfId="0" applyNumberFormat="1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 wrapText="1"/>
    </xf>
    <xf numFmtId="164" fontId="21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2" fontId="22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/>
    </xf>
    <xf numFmtId="1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8" fillId="0" borderId="0" xfId="0" applyNumberFormat="1" applyFont="1" applyFill="1" applyAlignment="1">
      <alignment horizontal="left" vertical="center" wrapText="1"/>
    </xf>
    <xf numFmtId="1" fontId="2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left" vertical="center" wrapText="1"/>
    </xf>
    <xf numFmtId="164" fontId="17" fillId="0" borderId="0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" fillId="3" borderId="0" xfId="2" applyFont="1" applyFill="1" applyBorder="1" applyAlignment="1">
      <alignment horizontal="left" vertical="center"/>
    </xf>
    <xf numFmtId="0" fontId="3" fillId="4" borderId="0" xfId="2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center" vertical="center"/>
    </xf>
    <xf numFmtId="1" fontId="2" fillId="0" borderId="0" xfId="2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4" fontId="3" fillId="0" borderId="0" xfId="2" quotePrefix="1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2" borderId="0" xfId="0" applyFont="1" applyFill="1" applyBorder="1" applyAlignment="1">
      <alignment horizontal="justify" vertical="center" wrapText="1"/>
    </xf>
    <xf numFmtId="16" fontId="8" fillId="2" borderId="0" xfId="0" quotePrefix="1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vertical="center" wrapText="1"/>
    </xf>
    <xf numFmtId="164" fontId="18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2" fontId="18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left"/>
    </xf>
    <xf numFmtId="1" fontId="18" fillId="0" borderId="0" xfId="0" applyNumberFormat="1" applyFont="1" applyBorder="1" applyAlignment="1">
      <alignment horizontal="center" vertical="center"/>
    </xf>
    <xf numFmtId="164" fontId="22" fillId="0" borderId="0" xfId="0" quotePrefix="1" applyNumberFormat="1" applyFont="1" applyBorder="1" applyAlignment="1">
      <alignment horizontal="center" vertical="center"/>
    </xf>
    <xf numFmtId="165" fontId="22" fillId="0" borderId="0" xfId="0" quotePrefix="1" applyNumberFormat="1" applyFont="1" applyBorder="1" applyAlignment="1">
      <alignment horizontal="center" vertical="center"/>
    </xf>
    <xf numFmtId="1" fontId="0" fillId="0" borderId="0" xfId="0" applyNumberFormat="1"/>
    <xf numFmtId="1" fontId="6" fillId="0" borderId="0" xfId="0" applyNumberFormat="1" applyFont="1" applyAlignment="1" applyProtection="1">
      <alignment horizontal="right" vertical="center"/>
    </xf>
    <xf numFmtId="1" fontId="9" fillId="3" borderId="0" xfId="0" applyNumberFormat="1" applyFont="1" applyFill="1" applyAlignment="1" applyProtection="1">
      <alignment horizontal="center"/>
    </xf>
    <xf numFmtId="2" fontId="9" fillId="3" borderId="0" xfId="0" applyNumberFormat="1" applyFont="1" applyFill="1" applyAlignment="1" applyProtection="1">
      <alignment horizontal="center"/>
    </xf>
    <xf numFmtId="2" fontId="6" fillId="3" borderId="0" xfId="0" applyNumberFormat="1" applyFont="1" applyFill="1" applyAlignment="1" applyProtection="1">
      <alignment horizontal="center"/>
    </xf>
    <xf numFmtId="1" fontId="6" fillId="3" borderId="0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/>
    </xf>
    <xf numFmtId="2" fontId="9" fillId="3" borderId="0" xfId="0" applyNumberFormat="1" applyFont="1" applyFill="1" applyAlignment="1">
      <alignment horizontal="center"/>
    </xf>
    <xf numFmtId="1" fontId="0" fillId="3" borderId="0" xfId="0" applyNumberFormat="1" applyFont="1" applyFill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1" fontId="3" fillId="4" borderId="0" xfId="2" applyNumberFormat="1" applyFont="1" applyFill="1" applyBorder="1" applyAlignment="1">
      <alignment horizontal="left" vertical="center" wrapText="1"/>
    </xf>
    <xf numFmtId="1" fontId="3" fillId="3" borderId="0" xfId="2" applyNumberFormat="1" applyFont="1" applyFill="1" applyBorder="1" applyAlignment="1">
      <alignment horizontal="left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1" fontId="2" fillId="3" borderId="0" xfId="2" applyNumberFormat="1" applyFont="1" applyFill="1" applyBorder="1" applyAlignment="1">
      <alignment horizontal="right" vertical="center" wrapText="1"/>
    </xf>
    <xf numFmtId="1" fontId="2" fillId="4" borderId="0" xfId="2" applyNumberFormat="1" applyFont="1" applyFill="1" applyBorder="1" applyAlignment="1">
      <alignment horizontal="right" vertical="center" wrapText="1"/>
    </xf>
    <xf numFmtId="1" fontId="2" fillId="4" borderId="0" xfId="2" applyNumberFormat="1" applyFont="1" applyFill="1" applyBorder="1" applyAlignment="1">
      <alignment horizontal="left" vertical="center" wrapText="1"/>
    </xf>
    <xf numFmtId="1" fontId="2" fillId="0" borderId="0" xfId="2" applyNumberFormat="1" applyFont="1" applyFill="1" applyBorder="1" applyAlignment="1">
      <alignment horizontal="left" vertical="center"/>
    </xf>
    <xf numFmtId="1" fontId="2" fillId="5" borderId="0" xfId="2" applyNumberFormat="1" applyFont="1" applyFill="1" applyBorder="1" applyAlignment="1">
      <alignment horizontal="right" vertical="center"/>
    </xf>
    <xf numFmtId="1" fontId="3" fillId="5" borderId="0" xfId="2" applyNumberFormat="1" applyFont="1" applyFill="1" applyBorder="1" applyAlignment="1">
      <alignment horizontal="left" vertical="center" wrapText="1"/>
    </xf>
    <xf numFmtId="1" fontId="2" fillId="5" borderId="0" xfId="2" applyNumberFormat="1" applyFont="1" applyFill="1" applyBorder="1" applyAlignment="1">
      <alignment horizontal="left" vertical="center" wrapText="1"/>
    </xf>
    <xf numFmtId="1" fontId="0" fillId="0" borderId="0" xfId="0" applyNumberFormat="1" applyFill="1" applyBorder="1" applyAlignment="1">
      <alignment vertical="center"/>
    </xf>
    <xf numFmtId="1" fontId="2" fillId="3" borderId="0" xfId="2" applyNumberFormat="1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center" vertical="center"/>
    </xf>
    <xf numFmtId="1" fontId="2" fillId="0" borderId="0" xfId="2" applyNumberFormat="1" applyFont="1" applyFill="1" applyBorder="1" applyAlignment="1">
      <alignment horizontal="left" vertical="center" wrapText="1"/>
    </xf>
    <xf numFmtId="1" fontId="2" fillId="3" borderId="0" xfId="2" applyNumberFormat="1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1" fontId="3" fillId="0" borderId="0" xfId="2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64" fontId="3" fillId="0" borderId="0" xfId="2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/>
    </xf>
    <xf numFmtId="164" fontId="18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64" fontId="22" fillId="0" borderId="0" xfId="0" quotePrefix="1" applyNumberFormat="1" applyFont="1" applyBorder="1" applyAlignment="1">
      <alignment horizontal="left" vertical="center"/>
    </xf>
    <xf numFmtId="1" fontId="22" fillId="0" borderId="0" xfId="0" quotePrefix="1" applyNumberFormat="1" applyFont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164" fontId="17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2" fillId="3" borderId="0" xfId="2" applyNumberFormat="1" applyFont="1" applyFill="1" applyBorder="1" applyAlignment="1">
      <alignment horizontal="right" vertical="center"/>
    </xf>
    <xf numFmtId="1" fontId="2" fillId="4" borderId="0" xfId="2" applyNumberFormat="1" applyFont="1" applyFill="1" applyBorder="1" applyAlignment="1">
      <alignment horizontal="right" vertical="center"/>
    </xf>
    <xf numFmtId="0" fontId="2" fillId="3" borderId="0" xfId="2" applyFont="1" applyFill="1" applyBorder="1" applyAlignment="1">
      <alignment horizontal="right" vertical="center"/>
    </xf>
    <xf numFmtId="0" fontId="2" fillId="4" borderId="0" xfId="2" applyFont="1" applyFill="1" applyBorder="1" applyAlignment="1">
      <alignment horizontal="right" vertical="center"/>
    </xf>
    <xf numFmtId="1" fontId="22" fillId="0" borderId="0" xfId="0" quotePrefix="1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8" fillId="0" borderId="0" xfId="0" applyNumberFormat="1" applyFont="1" applyBorder="1" applyAlignment="1">
      <alignment horizontal="left" vertical="center"/>
    </xf>
    <xf numFmtId="164" fontId="17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20" fillId="0" borderId="0" xfId="0" applyFont="1"/>
    <xf numFmtId="164" fontId="18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wrapText="1"/>
    </xf>
    <xf numFmtId="2" fontId="22" fillId="0" borderId="0" xfId="0" quotePrefix="1" applyNumberFormat="1" applyFont="1" applyBorder="1" applyAlignment="1">
      <alignment horizontal="left" vertical="center"/>
    </xf>
    <xf numFmtId="1" fontId="0" fillId="3" borderId="0" xfId="0" applyNumberFormat="1" applyFill="1" applyBorder="1" applyAlignment="1">
      <alignment horizontal="center" vertical="center"/>
    </xf>
    <xf numFmtId="1" fontId="0" fillId="3" borderId="0" xfId="0" applyNumberFormat="1" applyFill="1" applyBorder="1" applyAlignment="1">
      <alignment vertical="center" wrapText="1"/>
    </xf>
    <xf numFmtId="1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1" fontId="3" fillId="3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164" fontId="3" fillId="3" borderId="0" xfId="2" applyNumberFormat="1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1" fontId="3" fillId="5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/>
    </xf>
    <xf numFmtId="1" fontId="2" fillId="4" borderId="0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3" xfId="2" applyNumberFormat="1" applyFont="1" applyBorder="1" applyAlignment="1">
      <alignment horizontal="left" vertical="center"/>
    </xf>
    <xf numFmtId="0" fontId="23" fillId="0" borderId="3" xfId="0" applyFont="1" applyBorder="1" applyAlignment="1">
      <alignment vertical="center"/>
    </xf>
    <xf numFmtId="164" fontId="23" fillId="0" borderId="0" xfId="0" applyNumberFormat="1" applyFont="1" applyBorder="1" applyAlignment="1">
      <alignment horizontal="center" vertical="center"/>
    </xf>
    <xf numFmtId="2" fontId="2" fillId="0" borderId="0" xfId="2" applyNumberFormat="1" applyFont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0" fillId="2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" fontId="0" fillId="0" borderId="6" xfId="0" applyNumberFormat="1" applyBorder="1" applyAlignment="1">
      <alignment horizontal="center" vertical="center"/>
    </xf>
    <xf numFmtId="1" fontId="23" fillId="0" borderId="6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1" fontId="17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2" fontId="0" fillId="0" borderId="0" xfId="0" applyNumberFormat="1"/>
    <xf numFmtId="164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" fontId="22" fillId="0" borderId="0" xfId="0" applyNumberFormat="1" applyFont="1" applyBorder="1" applyAlignment="1">
      <alignment horizontal="left" vertical="center"/>
    </xf>
    <xf numFmtId="1" fontId="0" fillId="2" borderId="7" xfId="0" applyNumberFormat="1" applyFont="1" applyFill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5" fontId="22" fillId="0" borderId="0" xfId="0" quotePrefix="1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wrapText="1"/>
    </xf>
    <xf numFmtId="1" fontId="0" fillId="0" borderId="0" xfId="0" applyNumberFormat="1" applyFill="1" applyAlignment="1">
      <alignment horizontal="center" vertical="center"/>
    </xf>
    <xf numFmtId="165" fontId="9" fillId="3" borderId="0" xfId="0" applyNumberFormat="1" applyFont="1" applyFill="1" applyAlignment="1" applyProtection="1">
      <alignment horizontal="center"/>
    </xf>
    <xf numFmtId="1" fontId="0" fillId="5" borderId="0" xfId="0" applyNumberFormat="1" applyFont="1" applyFill="1" applyBorder="1" applyAlignment="1">
      <alignment horizontal="center" vertical="center"/>
    </xf>
    <xf numFmtId="1" fontId="23" fillId="5" borderId="0" xfId="0" applyNumberFormat="1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 vertical="center"/>
    </xf>
    <xf numFmtId="1" fontId="23" fillId="3" borderId="2" xfId="0" applyNumberFormat="1" applyFont="1" applyFill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2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17" fillId="0" borderId="0" xfId="0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center"/>
    </xf>
    <xf numFmtId="1" fontId="18" fillId="0" borderId="0" xfId="0" applyNumberFormat="1" applyFont="1" applyBorder="1"/>
    <xf numFmtId="1" fontId="12" fillId="0" borderId="0" xfId="0" applyNumberFormat="1" applyFont="1" applyBorder="1" applyAlignment="1">
      <alignment horizontal="left"/>
    </xf>
    <xf numFmtId="164" fontId="22" fillId="0" borderId="0" xfId="0" applyNumberFormat="1" applyFont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left"/>
    </xf>
    <xf numFmtId="164" fontId="18" fillId="0" borderId="0" xfId="0" applyNumberFormat="1" applyFont="1" applyBorder="1"/>
    <xf numFmtId="164" fontId="8" fillId="2" borderId="0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 wrapText="1"/>
    </xf>
    <xf numFmtId="1" fontId="8" fillId="2" borderId="0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vertical="center"/>
    </xf>
    <xf numFmtId="1" fontId="3" fillId="0" borderId="0" xfId="2" quotePrefix="1" applyNumberFormat="1" applyFont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12" fillId="0" borderId="0" xfId="0" applyNumberFormat="1" applyFont="1" applyAlignment="1">
      <alignment horizontal="right" vertical="center" wrapText="1"/>
    </xf>
    <xf numFmtId="1" fontId="6" fillId="3" borderId="0" xfId="0" applyNumberFormat="1" applyFont="1" applyFill="1" applyAlignment="1" applyProtection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" fontId="7" fillId="0" borderId="0" xfId="0" applyNumberFormat="1" applyFont="1"/>
    <xf numFmtId="1" fontId="12" fillId="3" borderId="0" xfId="0" applyNumberFormat="1" applyFont="1" applyFill="1" applyAlignment="1" applyProtection="1">
      <alignment horizontal="center" vertical="center" wrapText="1"/>
    </xf>
    <xf numFmtId="1" fontId="12" fillId="3" borderId="0" xfId="0" applyNumberFormat="1" applyFont="1" applyFill="1" applyAlignment="1" applyProtection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1" fontId="24" fillId="0" borderId="0" xfId="0" applyNumberFormat="1" applyFont="1" applyAlignment="1">
      <alignment vertical="center"/>
    </xf>
    <xf numFmtId="1" fontId="24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164" fontId="3" fillId="0" borderId="0" xfId="2" applyNumberFormat="1" applyFont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1" fontId="0" fillId="0" borderId="8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ill="1" applyAlignment="1">
      <alignment vertical="center"/>
    </xf>
    <xf numFmtId="1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 applyAlignment="1">
      <alignment wrapText="1"/>
    </xf>
    <xf numFmtId="164" fontId="6" fillId="0" borderId="9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2" fontId="9" fillId="0" borderId="17" xfId="0" applyNumberFormat="1" applyFont="1" applyBorder="1" applyAlignment="1">
      <alignment horizontal="center" wrapText="1"/>
    </xf>
    <xf numFmtId="164" fontId="9" fillId="0" borderId="17" xfId="0" applyNumberFormat="1" applyFont="1" applyBorder="1" applyAlignment="1">
      <alignment horizontal="center" wrapText="1"/>
    </xf>
    <xf numFmtId="1" fontId="9" fillId="0" borderId="17" xfId="0" applyNumberFormat="1" applyFont="1" applyBorder="1" applyAlignment="1">
      <alignment horizontal="center" wrapText="1"/>
    </xf>
    <xf numFmtId="1" fontId="6" fillId="0" borderId="17" xfId="0" applyNumberFormat="1" applyFont="1" applyBorder="1" applyAlignment="1">
      <alignment horizontal="center" wrapText="1"/>
    </xf>
    <xf numFmtId="0" fontId="9" fillId="0" borderId="16" xfId="0" applyFont="1" applyBorder="1" applyAlignment="1">
      <alignment horizontal="left" wrapText="1"/>
    </xf>
    <xf numFmtId="0" fontId="6" fillId="0" borderId="16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9" fillId="0" borderId="0" xfId="0" applyNumberFormat="1" applyFont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9" fillId="0" borderId="18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2" fontId="6" fillId="0" borderId="17" xfId="0" applyNumberFormat="1" applyFont="1" applyBorder="1" applyAlignment="1">
      <alignment horizontal="center" wrapText="1"/>
    </xf>
    <xf numFmtId="164" fontId="6" fillId="0" borderId="17" xfId="0" applyNumberFormat="1" applyFont="1" applyBorder="1" applyAlignment="1">
      <alignment horizontal="center" wrapText="1"/>
    </xf>
    <xf numFmtId="2" fontId="9" fillId="0" borderId="0" xfId="0" applyNumberFormat="1" applyFont="1" applyBorder="1" applyAlignment="1">
      <alignment horizontal="center" wrapText="1"/>
    </xf>
    <xf numFmtId="164" fontId="9" fillId="0" borderId="0" xfId="0" applyNumberFormat="1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2" fontId="9" fillId="0" borderId="20" xfId="0" applyNumberFormat="1" applyFont="1" applyBorder="1" applyAlignment="1">
      <alignment horizontal="center" wrapText="1"/>
    </xf>
    <xf numFmtId="164" fontId="9" fillId="0" borderId="20" xfId="0" applyNumberFormat="1" applyFon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1" fontId="6" fillId="0" borderId="20" xfId="0" applyNumberFormat="1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1" fontId="9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justify" vertical="center"/>
    </xf>
    <xf numFmtId="0" fontId="5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justify" vertical="center" wrapText="1"/>
    </xf>
    <xf numFmtId="1" fontId="6" fillId="0" borderId="0" xfId="0" applyNumberFormat="1" applyFont="1" applyFill="1" applyBorder="1" applyAlignment="1">
      <alignment horizontal="center" wrapText="1"/>
    </xf>
    <xf numFmtId="1" fontId="8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right" vertical="center"/>
    </xf>
    <xf numFmtId="1" fontId="8" fillId="2" borderId="0" xfId="0" applyNumberFormat="1" applyFont="1" applyFill="1" applyAlignment="1">
      <alignment horizontal="center" vertical="center"/>
    </xf>
    <xf numFmtId="1" fontId="0" fillId="2" borderId="0" xfId="0" applyNumberFormat="1" applyFont="1" applyFill="1" applyAlignment="1">
      <alignment horizontal="center" vertical="center"/>
    </xf>
    <xf numFmtId="0" fontId="16" fillId="0" borderId="0" xfId="1"/>
    <xf numFmtId="0" fontId="26" fillId="0" borderId="0" xfId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23" fillId="0" borderId="0" xfId="0" applyFont="1"/>
    <xf numFmtId="1" fontId="5" fillId="0" borderId="0" xfId="0" applyNumberFormat="1" applyFont="1" applyAlignment="1">
      <alignment horizontal="right" vertical="center" wrapText="1"/>
    </xf>
    <xf numFmtId="1" fontId="12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64" fontId="9" fillId="0" borderId="0" xfId="0" applyNumberFormat="1" applyFont="1" applyAlignment="1" applyProtection="1">
      <alignment horizontal="center" vertical="center"/>
    </xf>
    <xf numFmtId="164" fontId="9" fillId="0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" fontId="0" fillId="0" borderId="0" xfId="0" applyNumberFormat="1" applyBorder="1" applyAlignment="1">
      <alignment vertical="center" wrapText="1"/>
    </xf>
    <xf numFmtId="1" fontId="23" fillId="0" borderId="0" xfId="0" applyNumberFormat="1" applyFont="1" applyBorder="1" applyAlignment="1">
      <alignment vertical="center" wrapText="1"/>
    </xf>
    <xf numFmtId="164" fontId="17" fillId="0" borderId="0" xfId="0" applyNumberFormat="1" applyFont="1" applyFill="1" applyBorder="1" applyAlignment="1">
      <alignment horizontal="center" wrapText="1"/>
    </xf>
    <xf numFmtId="1" fontId="6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1" fontId="23" fillId="0" borderId="0" xfId="0" applyNumberFormat="1" applyFont="1" applyAlignment="1">
      <alignment horizontal="left" vertical="center"/>
    </xf>
    <xf numFmtId="2" fontId="2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center" wrapText="1"/>
    </xf>
    <xf numFmtId="164" fontId="17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4" fontId="17" fillId="5" borderId="0" xfId="0" applyNumberFormat="1" applyFont="1" applyFill="1" applyBorder="1" applyAlignment="1">
      <alignment horizontal="center" vertical="center"/>
    </xf>
    <xf numFmtId="0" fontId="18" fillId="5" borderId="0" xfId="0" applyFont="1" applyFill="1" applyAlignment="1">
      <alignment vertical="center"/>
    </xf>
    <xf numFmtId="0" fontId="18" fillId="0" borderId="0" xfId="0" applyFont="1" applyBorder="1" applyAlignment="1">
      <alignment horizontal="left"/>
    </xf>
    <xf numFmtId="0" fontId="18" fillId="0" borderId="0" xfId="0" applyFont="1" applyAlignment="1"/>
    <xf numFmtId="1" fontId="6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" fontId="5" fillId="0" borderId="0" xfId="0" applyNumberFormat="1" applyFont="1" applyFill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9" fillId="0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6" fillId="0" borderId="0" xfId="0" applyNumberFormat="1" applyFont="1" applyFill="1" applyAlignment="1" applyProtection="1">
      <alignment horizontal="center"/>
    </xf>
    <xf numFmtId="0" fontId="0" fillId="0" borderId="0" xfId="0" applyAlignment="1">
      <alignment wrapText="1"/>
    </xf>
    <xf numFmtId="0" fontId="15" fillId="4" borderId="0" xfId="2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3" borderId="7" xfId="0" applyFont="1" applyFill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4" xfId="2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64" fontId="2" fillId="0" borderId="4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1" fontId="2" fillId="5" borderId="0" xfId="2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2" fillId="0" borderId="0" xfId="2" applyNumberFormat="1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164" fontId="2" fillId="0" borderId="0" xfId="2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2" fontId="23" fillId="3" borderId="1" xfId="0" applyNumberFormat="1" applyFont="1" applyFill="1" applyBorder="1" applyAlignment="1">
      <alignment horizontal="right" vertical="center"/>
    </xf>
    <xf numFmtId="2" fontId="0" fillId="3" borderId="1" xfId="0" applyNumberFormat="1" applyFill="1" applyBorder="1" applyAlignment="1">
      <alignment horizontal="right" vertical="center"/>
    </xf>
    <xf numFmtId="0" fontId="23" fillId="5" borderId="1" xfId="0" applyFont="1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3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</cellXfs>
  <cellStyles count="3">
    <cellStyle name="Hiperligaçã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Cto_Trat!$A$75:$A$82</c:f>
              <c:numCache>
                <c:formatCode>0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7">
                  <c:v>420</c:v>
                </c:pt>
              </c:numCache>
            </c:numRef>
          </c:xVal>
          <c:yVal>
            <c:numRef>
              <c:f>Cto_Trat!$B$75:$B$82</c:f>
              <c:numCache>
                <c:formatCode>0.00</c:formatCode>
                <c:ptCount val="8"/>
                <c:pt idx="0">
                  <c:v>35.888100000000001</c:v>
                </c:pt>
                <c:pt idx="1">
                  <c:v>25.176850000000002</c:v>
                </c:pt>
                <c:pt idx="2">
                  <c:v>21.606433333333335</c:v>
                </c:pt>
                <c:pt idx="3">
                  <c:v>19.821224999999998</c:v>
                </c:pt>
                <c:pt idx="4">
                  <c:v>18.7501</c:v>
                </c:pt>
                <c:pt idx="5">
                  <c:v>18.036016666666669</c:v>
                </c:pt>
                <c:pt idx="7">
                  <c:v>19.56619523809524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FD-4F96-AE23-D1F0CF841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655184"/>
        <c:axId val="1"/>
      </c:scatterChart>
      <c:valAx>
        <c:axId val="326655184"/>
        <c:scaling>
          <c:orientation val="minMax"/>
          <c:max val="6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665518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08110308926066E-2"/>
          <c:y val="2.3121387283236993E-2"/>
          <c:w val="0.87719498185995448"/>
          <c:h val="0.8682147679516939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Cto_Trat!$A$55:$A$62</c:f>
              <c:numCache>
                <c:formatCode>0</c:formatCode>
                <c:ptCount val="8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7">
                  <c:v>351</c:v>
                </c:pt>
              </c:numCache>
            </c:numRef>
          </c:xVal>
          <c:yVal>
            <c:numRef>
              <c:f>Cto_Trat!$B$55:$B$62</c:f>
              <c:numCache>
                <c:formatCode>0.00</c:formatCode>
                <c:ptCount val="8"/>
                <c:pt idx="0">
                  <c:v>39.88527333333333</c:v>
                </c:pt>
                <c:pt idx="1">
                  <c:v>27.534023333333334</c:v>
                </c:pt>
                <c:pt idx="2">
                  <c:v>23.41694</c:v>
                </c:pt>
                <c:pt idx="3">
                  <c:v>21.358398333333334</c:v>
                </c:pt>
                <c:pt idx="4">
                  <c:v>20.123273333333334</c:v>
                </c:pt>
                <c:pt idx="5">
                  <c:v>19.299856666666667</c:v>
                </c:pt>
                <c:pt idx="7">
                  <c:v>22.220522621082623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6C-4A07-B8D4-E98BC4325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649936"/>
        <c:axId val="1"/>
      </c:scatterChart>
      <c:valAx>
        <c:axId val="326649936"/>
        <c:scaling>
          <c:orientation val="minMax"/>
          <c:max val="600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66499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Operações culturais realizadas com os os equipamentos da</a:t>
            </a:r>
            <a:r>
              <a:rPr lang="pt-PT" baseline="0"/>
              <a:t> exploração</a:t>
            </a:r>
            <a:endParaRPr lang="pt-PT"/>
          </a:p>
        </c:rich>
      </c:tx>
      <c:layout>
        <c:manualLayout>
          <c:xMode val="edge"/>
          <c:yMode val="edge"/>
          <c:x val="0.25329438940865118"/>
          <c:y val="4.60544114677972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Cal_Cult!$B$1:$AK$1</c:f>
              <c:strCache>
                <c:ptCount val="36"/>
                <c:pt idx="0">
                  <c:v>J1</c:v>
                </c:pt>
                <c:pt idx="1">
                  <c:v>J2</c:v>
                </c:pt>
                <c:pt idx="2">
                  <c:v>J3</c:v>
                </c:pt>
                <c:pt idx="3">
                  <c:v>F1</c:v>
                </c:pt>
                <c:pt idx="4">
                  <c:v>F2</c:v>
                </c:pt>
                <c:pt idx="5">
                  <c:v>F3</c:v>
                </c:pt>
                <c:pt idx="6">
                  <c:v>M1</c:v>
                </c:pt>
                <c:pt idx="7">
                  <c:v>M2</c:v>
                </c:pt>
                <c:pt idx="8">
                  <c:v>M3</c:v>
                </c:pt>
                <c:pt idx="9">
                  <c:v>A1</c:v>
                </c:pt>
                <c:pt idx="10">
                  <c:v>A2</c:v>
                </c:pt>
                <c:pt idx="11">
                  <c:v>A3</c:v>
                </c:pt>
                <c:pt idx="12">
                  <c:v>M1</c:v>
                </c:pt>
                <c:pt idx="13">
                  <c:v>M2</c:v>
                </c:pt>
                <c:pt idx="14">
                  <c:v>M3</c:v>
                </c:pt>
                <c:pt idx="15">
                  <c:v>J1</c:v>
                </c:pt>
                <c:pt idx="16">
                  <c:v>J2</c:v>
                </c:pt>
                <c:pt idx="17">
                  <c:v>J3</c:v>
                </c:pt>
                <c:pt idx="18">
                  <c:v>J1</c:v>
                </c:pt>
                <c:pt idx="19">
                  <c:v>J2</c:v>
                </c:pt>
                <c:pt idx="20">
                  <c:v>J3</c:v>
                </c:pt>
                <c:pt idx="21">
                  <c:v>A1</c:v>
                </c:pt>
                <c:pt idx="22">
                  <c:v>A2</c:v>
                </c:pt>
                <c:pt idx="23">
                  <c:v>A3</c:v>
                </c:pt>
                <c:pt idx="24">
                  <c:v>S1</c:v>
                </c:pt>
                <c:pt idx="25">
                  <c:v>S2</c:v>
                </c:pt>
                <c:pt idx="26">
                  <c:v>S3</c:v>
                </c:pt>
                <c:pt idx="27">
                  <c:v>O1</c:v>
                </c:pt>
                <c:pt idx="28">
                  <c:v>O2</c:v>
                </c:pt>
                <c:pt idx="29">
                  <c:v>O3</c:v>
                </c:pt>
                <c:pt idx="30">
                  <c:v>N1</c:v>
                </c:pt>
                <c:pt idx="31">
                  <c:v>N2</c:v>
                </c:pt>
                <c:pt idx="32">
                  <c:v>N3</c:v>
                </c:pt>
                <c:pt idx="33">
                  <c:v>D1</c:v>
                </c:pt>
                <c:pt idx="34">
                  <c:v>D2</c:v>
                </c:pt>
                <c:pt idx="35">
                  <c:v>D3</c:v>
                </c:pt>
              </c:strCache>
            </c:strRef>
          </c:cat>
          <c:val>
            <c:numRef>
              <c:f>Cal_Cult!$B$2:$AK$2</c:f>
              <c:numCache>
                <c:formatCode>0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0-3F19-435C-9968-340D8CD5EA7A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Cal_Cult!$B$1:$AK$1</c:f>
              <c:strCache>
                <c:ptCount val="36"/>
                <c:pt idx="0">
                  <c:v>J1</c:v>
                </c:pt>
                <c:pt idx="1">
                  <c:v>J2</c:v>
                </c:pt>
                <c:pt idx="2">
                  <c:v>J3</c:v>
                </c:pt>
                <c:pt idx="3">
                  <c:v>F1</c:v>
                </c:pt>
                <c:pt idx="4">
                  <c:v>F2</c:v>
                </c:pt>
                <c:pt idx="5">
                  <c:v>F3</c:v>
                </c:pt>
                <c:pt idx="6">
                  <c:v>M1</c:v>
                </c:pt>
                <c:pt idx="7">
                  <c:v>M2</c:v>
                </c:pt>
                <c:pt idx="8">
                  <c:v>M3</c:v>
                </c:pt>
                <c:pt idx="9">
                  <c:v>A1</c:v>
                </c:pt>
                <c:pt idx="10">
                  <c:v>A2</c:v>
                </c:pt>
                <c:pt idx="11">
                  <c:v>A3</c:v>
                </c:pt>
                <c:pt idx="12">
                  <c:v>M1</c:v>
                </c:pt>
                <c:pt idx="13">
                  <c:v>M2</c:v>
                </c:pt>
                <c:pt idx="14">
                  <c:v>M3</c:v>
                </c:pt>
                <c:pt idx="15">
                  <c:v>J1</c:v>
                </c:pt>
                <c:pt idx="16">
                  <c:v>J2</c:v>
                </c:pt>
                <c:pt idx="17">
                  <c:v>J3</c:v>
                </c:pt>
                <c:pt idx="18">
                  <c:v>J1</c:v>
                </c:pt>
                <c:pt idx="19">
                  <c:v>J2</c:v>
                </c:pt>
                <c:pt idx="20">
                  <c:v>J3</c:v>
                </c:pt>
                <c:pt idx="21">
                  <c:v>A1</c:v>
                </c:pt>
                <c:pt idx="22">
                  <c:v>A2</c:v>
                </c:pt>
                <c:pt idx="23">
                  <c:v>A3</c:v>
                </c:pt>
                <c:pt idx="24">
                  <c:v>S1</c:v>
                </c:pt>
                <c:pt idx="25">
                  <c:v>S2</c:v>
                </c:pt>
                <c:pt idx="26">
                  <c:v>S3</c:v>
                </c:pt>
                <c:pt idx="27">
                  <c:v>O1</c:v>
                </c:pt>
                <c:pt idx="28">
                  <c:v>O2</c:v>
                </c:pt>
                <c:pt idx="29">
                  <c:v>O3</c:v>
                </c:pt>
                <c:pt idx="30">
                  <c:v>N1</c:v>
                </c:pt>
                <c:pt idx="31">
                  <c:v>N2</c:v>
                </c:pt>
                <c:pt idx="32">
                  <c:v>N3</c:v>
                </c:pt>
                <c:pt idx="33">
                  <c:v>D1</c:v>
                </c:pt>
                <c:pt idx="34">
                  <c:v>D2</c:v>
                </c:pt>
                <c:pt idx="35">
                  <c:v>D3</c:v>
                </c:pt>
              </c:strCache>
            </c:strRef>
          </c:cat>
          <c:val>
            <c:numRef>
              <c:f>Cal_Cult!$B$81:$AK$81</c:f>
              <c:numCache>
                <c:formatCode>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9.375</c:v>
                </c:pt>
                <c:pt idx="3">
                  <c:v>18.75</c:v>
                </c:pt>
                <c:pt idx="4">
                  <c:v>21.375</c:v>
                </c:pt>
                <c:pt idx="5">
                  <c:v>12</c:v>
                </c:pt>
                <c:pt idx="6">
                  <c:v>0</c:v>
                </c:pt>
                <c:pt idx="7">
                  <c:v>9.375</c:v>
                </c:pt>
                <c:pt idx="8">
                  <c:v>9.375</c:v>
                </c:pt>
                <c:pt idx="9">
                  <c:v>23.4375</c:v>
                </c:pt>
                <c:pt idx="10">
                  <c:v>23.4375</c:v>
                </c:pt>
                <c:pt idx="11">
                  <c:v>11.25</c:v>
                </c:pt>
                <c:pt idx="12">
                  <c:v>11.25</c:v>
                </c:pt>
                <c:pt idx="13">
                  <c:v>14.0625</c:v>
                </c:pt>
                <c:pt idx="14">
                  <c:v>14.0625</c:v>
                </c:pt>
                <c:pt idx="15">
                  <c:v>21.375</c:v>
                </c:pt>
                <c:pt idx="16">
                  <c:v>21.375</c:v>
                </c:pt>
                <c:pt idx="17">
                  <c:v>23.4375</c:v>
                </c:pt>
                <c:pt idx="18">
                  <c:v>23.4375</c:v>
                </c:pt>
                <c:pt idx="19">
                  <c:v>11.25</c:v>
                </c:pt>
                <c:pt idx="20">
                  <c:v>11.25</c:v>
                </c:pt>
                <c:pt idx="21">
                  <c:v>14.0625</c:v>
                </c:pt>
                <c:pt idx="22">
                  <c:v>14.0625</c:v>
                </c:pt>
                <c:pt idx="23">
                  <c:v>0</c:v>
                </c:pt>
                <c:pt idx="24">
                  <c:v>33.75</c:v>
                </c:pt>
                <c:pt idx="25">
                  <c:v>33.75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19-435C-9968-340D8CD5E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655840"/>
        <c:axId val="1"/>
      </c:barChart>
      <c:catAx>
        <c:axId val="3266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665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73</xdr:row>
      <xdr:rowOff>22860</xdr:rowOff>
    </xdr:from>
    <xdr:to>
      <xdr:col>10</xdr:col>
      <xdr:colOff>457200</xdr:colOff>
      <xdr:row>90</xdr:row>
      <xdr:rowOff>7620</xdr:rowOff>
    </xdr:to>
    <xdr:graphicFrame macro="">
      <xdr:nvGraphicFramePr>
        <xdr:cNvPr id="169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53</xdr:row>
      <xdr:rowOff>22860</xdr:rowOff>
    </xdr:from>
    <xdr:to>
      <xdr:col>10</xdr:col>
      <xdr:colOff>426720</xdr:colOff>
      <xdr:row>71</xdr:row>
      <xdr:rowOff>167640</xdr:rowOff>
    </xdr:to>
    <xdr:graphicFrame macro="">
      <xdr:nvGraphicFramePr>
        <xdr:cNvPr id="169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379095</xdr:colOff>
      <xdr:row>53</xdr:row>
      <xdr:rowOff>150495</xdr:rowOff>
    </xdr:from>
    <xdr:to>
      <xdr:col>10</xdr:col>
      <xdr:colOff>155789</xdr:colOff>
      <xdr:row>56</xdr:row>
      <xdr:rowOff>67634</xdr:rowOff>
    </xdr:to>
    <xdr:sp macro="" textlink="">
      <xdr:nvSpPr>
        <xdr:cNvPr id="6" name="CaixaDeTexto 1"/>
        <xdr:cNvSpPr txBox="1"/>
      </xdr:nvSpPr>
      <xdr:spPr>
        <a:xfrm>
          <a:off x="1813560" y="9509760"/>
          <a:ext cx="4851614" cy="45055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PT" sz="1100" b="1">
              <a:effectLst/>
              <a:latin typeface="+mn-lt"/>
              <a:ea typeface="+mn-ea"/>
              <a:cs typeface="+mn-cs"/>
            </a:rPr>
            <a:t>Custo (€/h) do trator em função da intensidade de utilização anual</a:t>
          </a:r>
          <a:endParaRPr lang="pt-PT">
            <a:effectLst/>
          </a:endParaRPr>
        </a:p>
        <a:p>
          <a:pPr algn="ctr"/>
          <a:r>
            <a:rPr lang="pt-PT" sz="1100" b="1">
              <a:effectLst/>
              <a:latin typeface="+mn-lt"/>
              <a:ea typeface="+mn-ea"/>
              <a:cs typeface="+mn-cs"/>
            </a:rPr>
            <a:t>trator de 53 cv</a:t>
          </a:r>
          <a:endParaRPr lang="pt-PT">
            <a:effectLst/>
          </a:endParaRPr>
        </a:p>
        <a:p>
          <a:pPr algn="ctr"/>
          <a:endParaRPr lang="pt-PT" sz="1100"/>
        </a:p>
      </xdr:txBody>
    </xdr:sp>
    <xdr:clientData/>
  </xdr:twoCellAnchor>
  <xdr:oneCellAnchor>
    <xdr:from>
      <xdr:col>6</xdr:col>
      <xdr:colOff>20955</xdr:colOff>
      <xdr:row>64</xdr:row>
      <xdr:rowOff>120015</xdr:rowOff>
    </xdr:from>
    <xdr:ext cx="441468" cy="217560"/>
    <xdr:sp macro="" textlink="$B$62">
      <xdr:nvSpPr>
        <xdr:cNvPr id="4" name="CaixaDeTexto 3"/>
        <xdr:cNvSpPr txBox="1"/>
      </xdr:nvSpPr>
      <xdr:spPr>
        <a:xfrm>
          <a:off x="4029075" y="11405235"/>
          <a:ext cx="4414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E36B4D76-0E9A-4368-AC97-C353BF526A1B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t>22.22</a:t>
          </a:fld>
          <a:endParaRPr lang="pt-PT" sz="1100"/>
        </a:p>
      </xdr:txBody>
    </xdr:sp>
    <xdr:clientData/>
  </xdr:oneCellAnchor>
  <xdr:oneCellAnchor>
    <xdr:from>
      <xdr:col>7</xdr:col>
      <xdr:colOff>165735</xdr:colOff>
      <xdr:row>82</xdr:row>
      <xdr:rowOff>83820</xdr:rowOff>
    </xdr:from>
    <xdr:ext cx="441468" cy="217560"/>
    <xdr:sp macro="" textlink="$B$82">
      <xdr:nvSpPr>
        <xdr:cNvPr id="5" name="CaixaDeTexto 4"/>
        <xdr:cNvSpPr txBox="1"/>
      </xdr:nvSpPr>
      <xdr:spPr>
        <a:xfrm>
          <a:off x="4768215" y="14523720"/>
          <a:ext cx="4414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376B69BD-B18C-46FA-A558-55129E6BF800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t>19.57</a:t>
          </a:fld>
          <a:endParaRPr lang="pt-PT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0.21663</cdr:x>
      <cdr:y>0.12591</cdr:y>
    </cdr:from>
    <cdr:to>
      <cdr:x>0.39514</cdr:x>
      <cdr:y>0.46119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181101" y="3190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PT"/>
        </a:p>
      </cdr:txBody>
    </cdr:sp>
  </cdr:relSizeAnchor>
  <cdr:relSizeAnchor xmlns:cdr="http://schemas.openxmlformats.org/drawingml/2006/chartDrawing">
    <cdr:from>
      <cdr:x>0.08396</cdr:x>
      <cdr:y>0.04074</cdr:y>
    </cdr:from>
    <cdr:to>
      <cdr:x>0.96194</cdr:x>
      <cdr:y>0.19322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464477" y="121476"/>
          <a:ext cx="4851614" cy="450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t-PT" sz="1100" b="1">
              <a:effectLst/>
              <a:latin typeface="+mn-lt"/>
              <a:ea typeface="+mn-ea"/>
              <a:cs typeface="+mn-cs"/>
            </a:rPr>
            <a:t>Custo (€/h) do trator em função da intensidade de utilização anual</a:t>
          </a:r>
          <a:endParaRPr lang="pt-PT">
            <a:effectLst/>
          </a:endParaRPr>
        </a:p>
        <a:p xmlns:a="http://schemas.openxmlformats.org/drawingml/2006/main">
          <a:pPr algn="ctr"/>
          <a:r>
            <a:rPr lang="pt-PT" sz="1100" b="1">
              <a:effectLst/>
              <a:latin typeface="+mn-lt"/>
              <a:ea typeface="+mn-ea"/>
              <a:cs typeface="+mn-cs"/>
            </a:rPr>
            <a:t>trator de 45 cv</a:t>
          </a:r>
          <a:endParaRPr lang="pt-PT">
            <a:effectLst/>
          </a:endParaRPr>
        </a:p>
        <a:p xmlns:a="http://schemas.openxmlformats.org/drawingml/2006/main">
          <a:pPr algn="ctr"/>
          <a:endParaRPr lang="pt-PT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101</xdr:row>
      <xdr:rowOff>60960</xdr:rowOff>
    </xdr:from>
    <xdr:to>
      <xdr:col>37</xdr:col>
      <xdr:colOff>7620</xdr:colOff>
      <xdr:row>120</xdr:row>
      <xdr:rowOff>137160</xdr:rowOff>
    </xdr:to>
    <xdr:graphicFrame macro="">
      <xdr:nvGraphicFramePr>
        <xdr:cNvPr id="2066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1456266</xdr:colOff>
      <xdr:row>101</xdr:row>
      <xdr:rowOff>59262</xdr:rowOff>
    </xdr:from>
    <xdr:ext cx="529376" cy="264560"/>
    <xdr:sp macro="" textlink="">
      <xdr:nvSpPr>
        <xdr:cNvPr id="3" name="CaixaDeTexto 2"/>
        <xdr:cNvSpPr txBox="1"/>
      </xdr:nvSpPr>
      <xdr:spPr>
        <a:xfrm>
          <a:off x="1456266" y="33367129"/>
          <a:ext cx="5293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h/ano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CC_Milho_UTAD_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CtoExemp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t_Cto_Eq"/>
      <sheetName val="Cto_Trat"/>
      <sheetName val="Cto_OpCt"/>
      <sheetName val="Cal_Cult"/>
      <sheetName val="Cto_MO_Mq"/>
      <sheetName val="Cto_Out_RE"/>
      <sheetName val="IHERA_Trat"/>
      <sheetName val="IHER_Equip"/>
      <sheetName val="Vel_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J2">
            <v>3</v>
          </cell>
          <cell r="M2">
            <v>0.36</v>
          </cell>
        </row>
      </sheetData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t_Cto_Eq"/>
      <sheetName val="Cto_Trat"/>
      <sheetName val="Cto_OpCt"/>
      <sheetName val="Cal_Cult"/>
      <sheetName val="Cto_MO_Mq"/>
      <sheetName val="Cto_Out_RE"/>
      <sheetName val="Cto_Fin_RE"/>
      <sheetName val="IHERA_Trat"/>
      <sheetName val="IHERA_Equip"/>
      <sheetName val="Vel_Ec"/>
    </sheetNames>
    <sheetDataSet>
      <sheetData sheetId="0">
        <row r="19">
          <cell r="A19" t="str">
            <v>Trator 53 cv (39 kW)
LinhaNº4 (IHERA)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pane ySplit="1" topLeftCell="A2" activePane="bottomLeft" state="frozen"/>
      <selection pane="bottomLeft" sqref="A1:B1"/>
    </sheetView>
  </sheetViews>
  <sheetFormatPr defaultRowHeight="13.8" x14ac:dyDescent="0.3"/>
  <cols>
    <col min="1" max="1" width="13" customWidth="1"/>
    <col min="2" max="2" width="54.5546875" customWidth="1"/>
  </cols>
  <sheetData>
    <row r="1" spans="1:2" ht="20.100000000000001" customHeight="1" x14ac:dyDescent="0.3">
      <c r="A1" s="416" t="s">
        <v>878</v>
      </c>
      <c r="B1" s="416"/>
    </row>
    <row r="2" spans="1:2" ht="20.100000000000001" customHeight="1" x14ac:dyDescent="0.3">
      <c r="A2" s="398" t="s">
        <v>879</v>
      </c>
      <c r="B2" t="s">
        <v>902</v>
      </c>
    </row>
    <row r="3" spans="1:2" ht="20.100000000000001" customHeight="1" x14ac:dyDescent="0.3">
      <c r="A3" s="398" t="s">
        <v>890</v>
      </c>
      <c r="B3" t="s">
        <v>903</v>
      </c>
    </row>
    <row r="4" spans="1:2" ht="20.100000000000001" customHeight="1" x14ac:dyDescent="0.3">
      <c r="A4" s="398" t="s">
        <v>891</v>
      </c>
      <c r="B4" t="s">
        <v>904</v>
      </c>
    </row>
    <row r="5" spans="1:2" ht="20.100000000000001" customHeight="1" x14ac:dyDescent="0.3">
      <c r="A5" s="398" t="s">
        <v>892</v>
      </c>
      <c r="B5" t="s">
        <v>905</v>
      </c>
    </row>
    <row r="6" spans="1:2" ht="20.100000000000001" customHeight="1" x14ac:dyDescent="0.3">
      <c r="A6" s="398" t="s">
        <v>893</v>
      </c>
      <c r="B6" t="s">
        <v>906</v>
      </c>
    </row>
    <row r="7" spans="1:2" ht="20.100000000000001" customHeight="1" x14ac:dyDescent="0.3">
      <c r="A7" s="398" t="s">
        <v>894</v>
      </c>
      <c r="B7" t="s">
        <v>907</v>
      </c>
    </row>
    <row r="8" spans="1:2" ht="20.100000000000001" customHeight="1" x14ac:dyDescent="0.3">
      <c r="A8" s="398" t="s">
        <v>895</v>
      </c>
      <c r="B8" t="s">
        <v>908</v>
      </c>
    </row>
    <row r="9" spans="1:2" ht="20.100000000000001" customHeight="1" x14ac:dyDescent="0.3">
      <c r="A9" s="398" t="s">
        <v>896</v>
      </c>
      <c r="B9" t="s">
        <v>909</v>
      </c>
    </row>
    <row r="10" spans="1:2" ht="20.100000000000001" customHeight="1" x14ac:dyDescent="0.3">
      <c r="A10" s="398" t="s">
        <v>897</v>
      </c>
      <c r="B10" t="s">
        <v>910</v>
      </c>
    </row>
    <row r="11" spans="1:2" ht="20.100000000000001" customHeight="1" x14ac:dyDescent="0.3">
      <c r="A11" s="398" t="s">
        <v>898</v>
      </c>
      <c r="B11" t="s">
        <v>911</v>
      </c>
    </row>
    <row r="12" spans="1:2" ht="20.100000000000001" customHeight="1" x14ac:dyDescent="0.3">
      <c r="A12" s="398" t="s">
        <v>912</v>
      </c>
      <c r="B12" t="s">
        <v>913</v>
      </c>
    </row>
    <row r="13" spans="1:2" ht="20.100000000000001" customHeight="1" x14ac:dyDescent="0.3">
      <c r="A13" s="398" t="s">
        <v>899</v>
      </c>
      <c r="B13" t="s">
        <v>914</v>
      </c>
    </row>
    <row r="14" spans="1:2" ht="20.100000000000001" customHeight="1" x14ac:dyDescent="0.3">
      <c r="A14" s="398" t="s">
        <v>900</v>
      </c>
      <c r="B14" t="s">
        <v>915</v>
      </c>
    </row>
    <row r="15" spans="1:2" ht="20.100000000000001" customHeight="1" x14ac:dyDescent="0.3">
      <c r="A15" s="398" t="s">
        <v>901</v>
      </c>
      <c r="B15" t="s">
        <v>916</v>
      </c>
    </row>
    <row r="16" spans="1:2" ht="20.100000000000001" customHeight="1" x14ac:dyDescent="0.3"/>
    <row r="17" ht="20.100000000000001" customHeight="1" x14ac:dyDescent="0.3"/>
    <row r="18" ht="20.100000000000001" customHeight="1" x14ac:dyDescent="0.3"/>
    <row r="19" ht="20.100000000000001" customHeight="1" x14ac:dyDescent="0.3"/>
    <row r="20" ht="20.100000000000001" customHeight="1" x14ac:dyDescent="0.3"/>
    <row r="21" ht="20.100000000000001" customHeight="1" x14ac:dyDescent="0.3"/>
    <row r="22" ht="20.100000000000001" customHeight="1" x14ac:dyDescent="0.3"/>
    <row r="23" ht="20.100000000000001" customHeight="1" x14ac:dyDescent="0.3"/>
    <row r="24" ht="20.100000000000001" customHeight="1" x14ac:dyDescent="0.3"/>
    <row r="25" ht="20.100000000000001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</sheetData>
  <mergeCells count="1">
    <mergeCell ref="A1:B1"/>
  </mergeCells>
  <hyperlinks>
    <hyperlink ref="A2" location="Dados!A1" display="Dados"/>
    <hyperlink ref="A3" location="Cto_Eq!A1" display="Cto_Eq"/>
    <hyperlink ref="A4" location="EquipPot!A1" display="EquipPot"/>
    <hyperlink ref="A5" location="Cto_Trat!A1" display="Cto_Trat"/>
    <hyperlink ref="A6" location="MOEqTr!A1" display="MOEqTr"/>
    <hyperlink ref="A7" location="Cto_OpCt!A1" display="Cto_OpCt"/>
    <hyperlink ref="A8" location="Cal_Cult!A1" display="Cal_Cult"/>
    <hyperlink ref="A9" location="Cto_Outros!A1" display="Cto_Outros"/>
    <hyperlink ref="A10" location="Cto_Fin_RE!A1" display="Cto_Fin_RE"/>
    <hyperlink ref="A11" location="IHERA_Trat!A1" display="IHERA_Trat"/>
    <hyperlink ref="A12" location="IHERA_Equip!A1" display="IHERA_Equi"/>
    <hyperlink ref="A13" location="Vel_Ec!A1" display="Vel_Ec"/>
    <hyperlink ref="A14" location="Potencias!A1" display="Potencias"/>
    <hyperlink ref="A15" location="Reparacoes!A1" display="Reparações"/>
  </hyperlink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5" sqref="H15"/>
    </sheetView>
  </sheetViews>
  <sheetFormatPr defaultColWidth="13.44140625" defaultRowHeight="13.8" x14ac:dyDescent="0.3"/>
  <cols>
    <col min="1" max="1" width="26.109375" style="299" customWidth="1"/>
    <col min="2" max="5" width="13.44140625" style="297" customWidth="1"/>
    <col min="6" max="6" width="17" style="297" customWidth="1"/>
    <col min="7" max="7" width="13.44140625" style="326"/>
    <col min="8" max="16384" width="13.44140625" style="299"/>
  </cols>
  <sheetData>
    <row r="1" spans="1:8" ht="24.9" customHeight="1" x14ac:dyDescent="0.3">
      <c r="A1" s="399" t="s">
        <v>917</v>
      </c>
      <c r="B1" s="478" t="s">
        <v>704</v>
      </c>
      <c r="C1" s="428"/>
      <c r="D1" s="428"/>
      <c r="E1" s="478" t="s">
        <v>705</v>
      </c>
      <c r="F1" s="428"/>
      <c r="G1" s="428"/>
      <c r="H1" s="314"/>
    </row>
    <row r="2" spans="1:8" s="310" customFormat="1" ht="30" customHeight="1" x14ac:dyDescent="0.3">
      <c r="A2" s="314"/>
      <c r="B2" s="321" t="s">
        <v>703</v>
      </c>
      <c r="C2" s="321" t="s">
        <v>702</v>
      </c>
      <c r="D2" s="321" t="s">
        <v>724</v>
      </c>
      <c r="E2" s="428"/>
      <c r="F2" s="428"/>
      <c r="G2" s="428"/>
      <c r="H2" s="314"/>
    </row>
    <row r="3" spans="1:8" s="310" customFormat="1" ht="24.9" customHeight="1" x14ac:dyDescent="0.3">
      <c r="A3" s="325" t="s">
        <v>701</v>
      </c>
      <c r="B3" s="309"/>
      <c r="C3" s="309"/>
      <c r="D3" s="309"/>
      <c r="E3" s="477" t="s">
        <v>714</v>
      </c>
      <c r="F3" s="477"/>
      <c r="G3" s="413">
        <f>+Dados!G6*Dados!G4</f>
        <v>67500</v>
      </c>
    </row>
    <row r="4" spans="1:8" ht="24.9" customHeight="1" x14ac:dyDescent="0.3">
      <c r="A4" s="16" t="str">
        <f>+[2]Dados!A19</f>
        <v>Trator 53 cv (39 kW)
LinhaNº4 (IHERA)</v>
      </c>
      <c r="B4" s="298">
        <f>+Cto_Eq!E60</f>
        <v>1235.125</v>
      </c>
      <c r="C4" s="298">
        <f>+Cto_Eq!F60</f>
        <v>2664.57672</v>
      </c>
      <c r="D4" s="298">
        <f>+B4+C4</f>
        <v>3899.70172</v>
      </c>
      <c r="E4" s="477" t="s">
        <v>715</v>
      </c>
      <c r="F4" s="477"/>
      <c r="G4" s="413">
        <f>+Dados!G7</f>
        <v>10</v>
      </c>
    </row>
    <row r="5" spans="1:8" ht="24.9" customHeight="1" x14ac:dyDescent="0.3">
      <c r="A5" s="16" t="str">
        <f>+[2]Dados!A19</f>
        <v>Trator 53 cv (39 kW)
LinhaNº4 (IHERA)</v>
      </c>
      <c r="B5" s="298">
        <f>+Cto_Eq!E61</f>
        <v>1071.125</v>
      </c>
      <c r="C5" s="298">
        <f>+Cto_Eq!F61</f>
        <v>3037.7759999999998</v>
      </c>
      <c r="D5" s="298">
        <f>+B5+C5</f>
        <v>4108.9009999999998</v>
      </c>
      <c r="E5" s="477" t="s">
        <v>716</v>
      </c>
      <c r="F5" s="477"/>
      <c r="G5" s="413">
        <f>+G3*(100-G4)/100</f>
        <v>60750</v>
      </c>
    </row>
    <row r="6" spans="1:8" ht="24.9" customHeight="1" x14ac:dyDescent="0.3">
      <c r="A6" s="320" t="s">
        <v>707</v>
      </c>
      <c r="B6" s="298">
        <f>+B4+B5</f>
        <v>2306.25</v>
      </c>
      <c r="C6" s="298">
        <f>+C4+C5</f>
        <v>5702.3527199999999</v>
      </c>
      <c r="D6" s="298">
        <f>+D4+D5</f>
        <v>8008.6027199999999</v>
      </c>
      <c r="E6" s="476" t="s">
        <v>720</v>
      </c>
      <c r="F6" s="477"/>
      <c r="G6" s="413">
        <f>+G5*Dados!G8</f>
        <v>121500</v>
      </c>
    </row>
    <row r="7" spans="1:8" s="310" customFormat="1" ht="24.9" customHeight="1" x14ac:dyDescent="0.3">
      <c r="A7" s="325" t="s">
        <v>38</v>
      </c>
      <c r="B7" s="309"/>
      <c r="C7" s="309"/>
      <c r="D7" s="309"/>
      <c r="E7" s="476" t="s">
        <v>721</v>
      </c>
      <c r="F7" s="477"/>
      <c r="G7" s="414">
        <f>+G6-C39</f>
        <v>87557.390879999992</v>
      </c>
    </row>
    <row r="8" spans="1:8" ht="24.9" customHeight="1" x14ac:dyDescent="0.3">
      <c r="A8" s="16" t="s">
        <v>553</v>
      </c>
      <c r="B8" s="309">
        <f>+Cto_Eq!L19</f>
        <v>650.00000000000011</v>
      </c>
      <c r="C8" s="309">
        <f>+Cto_Eq!L46</f>
        <v>37.5</v>
      </c>
      <c r="D8" s="309">
        <f>+B8+C8</f>
        <v>687.50000000000011</v>
      </c>
      <c r="E8" s="476" t="s">
        <v>717</v>
      </c>
      <c r="F8" s="477"/>
      <c r="G8" s="414">
        <f>+G6-D39</f>
        <v>18961.650880000001</v>
      </c>
    </row>
    <row r="9" spans="1:8" ht="24.9" customHeight="1" x14ac:dyDescent="0.3">
      <c r="A9" s="16" t="s">
        <v>574</v>
      </c>
      <c r="B9" s="309">
        <f>+Cto_Eq!L20</f>
        <v>325.00000000000006</v>
      </c>
      <c r="C9" s="309">
        <f>+Cto_Eq!L47</f>
        <v>18.75</v>
      </c>
      <c r="D9" s="309">
        <f t="shared" ref="D9:D17" si="0">+B9+C9</f>
        <v>343.75000000000006</v>
      </c>
      <c r="E9" s="477" t="s">
        <v>718</v>
      </c>
      <c r="F9" s="477"/>
      <c r="G9" s="415">
        <f>+D39/G5</f>
        <v>1.6878740595884774</v>
      </c>
    </row>
    <row r="10" spans="1:8" ht="24.9" customHeight="1" x14ac:dyDescent="0.3">
      <c r="A10" s="16" t="s">
        <v>554</v>
      </c>
      <c r="B10" s="309">
        <f>+Cto_Eq!L21</f>
        <v>88.92</v>
      </c>
      <c r="C10" s="309">
        <f>+Cto_Eq!L48</f>
        <v>22.982400000000002</v>
      </c>
      <c r="D10" s="309">
        <f t="shared" si="0"/>
        <v>111.9024</v>
      </c>
      <c r="E10" s="477" t="s">
        <v>719</v>
      </c>
      <c r="F10" s="477"/>
      <c r="G10" s="415">
        <f>+Dados!G8</f>
        <v>2</v>
      </c>
    </row>
    <row r="11" spans="1:8" ht="24.9" customHeight="1" x14ac:dyDescent="0.3">
      <c r="A11" s="96" t="s">
        <v>557</v>
      </c>
      <c r="B11" s="309">
        <f>+Cto_Eq!L22</f>
        <v>394.94</v>
      </c>
      <c r="C11" s="309">
        <f>+Cto_Eq!L49</f>
        <v>273.42</v>
      </c>
      <c r="D11" s="309">
        <f t="shared" si="0"/>
        <v>668.36</v>
      </c>
    </row>
    <row r="12" spans="1:8" ht="24.9" customHeight="1" x14ac:dyDescent="0.3">
      <c r="A12" s="96" t="s">
        <v>559</v>
      </c>
      <c r="B12" s="309">
        <f>+Cto_Eq!L23</f>
        <v>197.47</v>
      </c>
      <c r="C12" s="309">
        <f>+Cto_Eq!L50</f>
        <v>136.71</v>
      </c>
      <c r="D12" s="309">
        <f t="shared" si="0"/>
        <v>334.18</v>
      </c>
    </row>
    <row r="13" spans="1:8" ht="24.9" customHeight="1" x14ac:dyDescent="0.3">
      <c r="A13" s="100" t="s">
        <v>535</v>
      </c>
      <c r="B13" s="309">
        <f>+Cto_Eq!L24</f>
        <v>413.40000000000003</v>
      </c>
      <c r="C13" s="309">
        <f>+Cto_Eq!L51</f>
        <v>114.48</v>
      </c>
      <c r="D13" s="309">
        <f t="shared" si="0"/>
        <v>527.88</v>
      </c>
    </row>
    <row r="14" spans="1:8" ht="24.9" customHeight="1" x14ac:dyDescent="0.3">
      <c r="A14" s="98" t="s">
        <v>560</v>
      </c>
      <c r="B14" s="309">
        <f>+Cto_Eq!L25</f>
        <v>390</v>
      </c>
      <c r="C14" s="309">
        <f>+Cto_Eq!L52</f>
        <v>45</v>
      </c>
      <c r="D14" s="309">
        <f t="shared" si="0"/>
        <v>435</v>
      </c>
    </row>
    <row r="15" spans="1:8" ht="24.9" customHeight="1" x14ac:dyDescent="0.3">
      <c r="A15" s="98" t="s">
        <v>567</v>
      </c>
      <c r="B15" s="309">
        <f>+Cto_Eq!L26</f>
        <v>325.00000000000006</v>
      </c>
      <c r="C15" s="309">
        <f>+Cto_Eq!L53</f>
        <v>37.5</v>
      </c>
      <c r="D15" s="309">
        <f t="shared" si="0"/>
        <v>362.50000000000006</v>
      </c>
    </row>
    <row r="16" spans="1:8" ht="24.9" customHeight="1" x14ac:dyDescent="0.3">
      <c r="A16" s="100" t="s">
        <v>562</v>
      </c>
      <c r="B16" s="309">
        <f>+Cto_Eq!L27</f>
        <v>334.88</v>
      </c>
      <c r="C16" s="309">
        <f>+Cto_Eq!L54</f>
        <v>29.456999999999997</v>
      </c>
      <c r="D16" s="309">
        <f t="shared" si="0"/>
        <v>364.33699999999999</v>
      </c>
    </row>
    <row r="17" spans="1:7" ht="24.9" customHeight="1" x14ac:dyDescent="0.3">
      <c r="A17" s="100" t="s">
        <v>563</v>
      </c>
      <c r="B17" s="309">
        <f>+Cto_Eq!L28</f>
        <v>334.88</v>
      </c>
      <c r="C17" s="309">
        <f>+Cto_Eq!L55</f>
        <v>29.456999999999997</v>
      </c>
      <c r="D17" s="309">
        <f t="shared" si="0"/>
        <v>364.33699999999999</v>
      </c>
    </row>
    <row r="18" spans="1:7" ht="24.9" customHeight="1" x14ac:dyDescent="0.3">
      <c r="A18" s="320" t="s">
        <v>706</v>
      </c>
      <c r="B18" s="309">
        <f>SUM(B8:B17)</f>
        <v>3454.4900000000007</v>
      </c>
      <c r="C18" s="309">
        <f>SUM(C8:C17)</f>
        <v>745.25639999999999</v>
      </c>
      <c r="D18" s="309">
        <f>SUM(D8:D17)</f>
        <v>4199.7464</v>
      </c>
    </row>
    <row r="19" spans="1:7" ht="24.9" customHeight="1" x14ac:dyDescent="0.3">
      <c r="A19" s="313" t="s">
        <v>635</v>
      </c>
    </row>
    <row r="20" spans="1:7" ht="24.9" customHeight="1" x14ac:dyDescent="0.3">
      <c r="A20" s="16" t="s">
        <v>708</v>
      </c>
      <c r="B20" s="309">
        <f>+Dados!K54</f>
        <v>27300</v>
      </c>
      <c r="D20" s="309">
        <f>+B20</f>
        <v>27300</v>
      </c>
    </row>
    <row r="21" spans="1:7" ht="24.9" customHeight="1" x14ac:dyDescent="0.3">
      <c r="A21" s="117" t="s">
        <v>558</v>
      </c>
      <c r="B21" s="309">
        <f>+Dados!K55</f>
        <v>35490</v>
      </c>
      <c r="D21" s="309">
        <f>+B21</f>
        <v>35490</v>
      </c>
    </row>
    <row r="22" spans="1:7" ht="24.9" customHeight="1" x14ac:dyDescent="0.3">
      <c r="A22" s="313" t="s">
        <v>709</v>
      </c>
    </row>
    <row r="23" spans="1:7" ht="20.100000000000001" customHeight="1" x14ac:dyDescent="0.3">
      <c r="A23" s="16" t="s">
        <v>631</v>
      </c>
      <c r="C23" s="297">
        <f>+Dados!M58</f>
        <v>11250</v>
      </c>
      <c r="D23" s="297">
        <f>+C23</f>
        <v>11250</v>
      </c>
    </row>
    <row r="24" spans="1:7" s="310" customFormat="1" ht="24.9" customHeight="1" x14ac:dyDescent="0.3">
      <c r="A24" s="16" t="s">
        <v>43</v>
      </c>
      <c r="B24" s="308"/>
      <c r="C24" s="308"/>
      <c r="D24" s="308"/>
      <c r="E24" s="308"/>
      <c r="F24" s="308"/>
      <c r="G24" s="326"/>
    </row>
    <row r="25" spans="1:7" ht="24.9" customHeight="1" x14ac:dyDescent="0.3">
      <c r="A25" s="313" t="s">
        <v>710</v>
      </c>
    </row>
    <row r="26" spans="1:7" s="310" customFormat="1" ht="20.100000000000001" customHeight="1" x14ac:dyDescent="0.3">
      <c r="A26" s="16" t="s">
        <v>634</v>
      </c>
      <c r="B26" s="308"/>
      <c r="C26" s="308">
        <f>+Dados!M61</f>
        <v>4500</v>
      </c>
      <c r="D26" s="308">
        <f>+C26</f>
        <v>4500</v>
      </c>
      <c r="E26" s="308"/>
      <c r="F26" s="308"/>
      <c r="G26" s="326"/>
    </row>
    <row r="27" spans="1:7" s="310" customFormat="1" ht="20.100000000000001" customHeight="1" x14ac:dyDescent="0.3">
      <c r="A27" s="16" t="s">
        <v>595</v>
      </c>
      <c r="B27" s="308"/>
      <c r="C27" s="308">
        <f>+Dados!M62</f>
        <v>3375</v>
      </c>
      <c r="D27" s="308">
        <f>+C27</f>
        <v>3375</v>
      </c>
      <c r="E27" s="308"/>
      <c r="F27" s="308"/>
      <c r="G27" s="326"/>
    </row>
    <row r="28" spans="1:7" ht="24.9" customHeight="1" x14ac:dyDescent="0.3">
      <c r="A28" s="299" t="s">
        <v>43</v>
      </c>
    </row>
    <row r="29" spans="1:7" s="310" customFormat="1" ht="24.9" customHeight="1" x14ac:dyDescent="0.3">
      <c r="A29" s="313" t="s">
        <v>711</v>
      </c>
      <c r="B29" s="308"/>
      <c r="C29" s="308"/>
      <c r="D29" s="308"/>
      <c r="E29" s="308"/>
      <c r="F29" s="308"/>
      <c r="G29" s="326"/>
    </row>
    <row r="30" spans="1:7" s="310" customFormat="1" ht="24.9" customHeight="1" x14ac:dyDescent="0.3">
      <c r="A30" s="243" t="s">
        <v>47</v>
      </c>
      <c r="B30" s="308">
        <f>+Cto_Outros!D25</f>
        <v>25</v>
      </c>
      <c r="C30" s="308"/>
      <c r="D30" s="308"/>
      <c r="E30" s="308"/>
      <c r="F30" s="308"/>
      <c r="G30" s="326"/>
    </row>
    <row r="31" spans="1:7" s="310" customFormat="1" ht="24.9" customHeight="1" x14ac:dyDescent="0.3">
      <c r="A31" s="243" t="s">
        <v>50</v>
      </c>
      <c r="B31" s="308">
        <f>+Cto_Outros!D26</f>
        <v>20</v>
      </c>
      <c r="C31" s="308"/>
      <c r="D31" s="308"/>
      <c r="E31" s="308"/>
      <c r="F31" s="308"/>
      <c r="G31" s="326"/>
    </row>
    <row r="32" spans="1:7" s="310" customFormat="1" ht="24.9" customHeight="1" x14ac:dyDescent="0.3">
      <c r="A32" s="310" t="s">
        <v>40</v>
      </c>
      <c r="B32" s="308"/>
      <c r="C32" s="308"/>
      <c r="D32" s="308"/>
      <c r="E32" s="308"/>
      <c r="F32" s="308"/>
      <c r="G32" s="326"/>
    </row>
    <row r="33" spans="1:7" s="310" customFormat="1" ht="24.9" customHeight="1" x14ac:dyDescent="0.3">
      <c r="A33" s="313" t="s">
        <v>712</v>
      </c>
      <c r="B33" s="308"/>
      <c r="C33" s="308"/>
      <c r="D33" s="308"/>
      <c r="E33" s="308"/>
      <c r="F33" s="308"/>
      <c r="G33" s="326"/>
    </row>
    <row r="34" spans="1:7" s="310" customFormat="1" ht="24.9" customHeight="1" x14ac:dyDescent="0.3">
      <c r="A34" s="180" t="s">
        <v>723</v>
      </c>
      <c r="B34" s="308"/>
      <c r="C34" s="309">
        <f>+Cto_Outros!H25</f>
        <v>270</v>
      </c>
      <c r="D34" s="308"/>
      <c r="E34" s="308"/>
      <c r="F34" s="308"/>
      <c r="G34" s="326"/>
    </row>
    <row r="35" spans="1:7" s="310" customFormat="1" ht="24.9" customHeight="1" x14ac:dyDescent="0.3">
      <c r="A35" s="180" t="s">
        <v>591</v>
      </c>
      <c r="B35" s="308"/>
      <c r="C35" s="309">
        <f>+Cto_Outros!H26</f>
        <v>1800</v>
      </c>
      <c r="D35" s="308"/>
      <c r="E35" s="308"/>
      <c r="F35" s="308"/>
      <c r="G35" s="327"/>
    </row>
    <row r="36" spans="1:7" s="310" customFormat="1" ht="24.9" customHeight="1" x14ac:dyDescent="0.3">
      <c r="A36" s="322" t="s">
        <v>34</v>
      </c>
      <c r="B36" s="308"/>
      <c r="C36" s="309">
        <f>+Cto_Outros!H27</f>
        <v>5625</v>
      </c>
      <c r="D36" s="308"/>
      <c r="E36" s="308"/>
      <c r="F36" s="308"/>
      <c r="G36" s="326"/>
    </row>
    <row r="37" spans="1:7" s="310" customFormat="1" ht="24.9" customHeight="1" x14ac:dyDescent="0.3">
      <c r="A37" s="322" t="s">
        <v>590</v>
      </c>
      <c r="B37" s="308"/>
      <c r="C37" s="309">
        <f>+Cto_Outros!H28</f>
        <v>675</v>
      </c>
      <c r="D37" s="308"/>
      <c r="E37" s="308"/>
      <c r="F37" s="308"/>
      <c r="G37" s="326"/>
    </row>
    <row r="38" spans="1:7" s="310" customFormat="1" ht="24.9" customHeight="1" x14ac:dyDescent="0.3">
      <c r="A38" s="310" t="s">
        <v>40</v>
      </c>
      <c r="B38" s="308"/>
      <c r="C38" s="308"/>
      <c r="D38" s="308"/>
      <c r="E38" s="308"/>
      <c r="F38" s="308"/>
      <c r="G38" s="326"/>
    </row>
    <row r="39" spans="1:7" s="319" customFormat="1" ht="24.9" customHeight="1" x14ac:dyDescent="0.3">
      <c r="A39" s="323" t="s">
        <v>713</v>
      </c>
      <c r="B39" s="324">
        <f>+B6+B18+B20+B21+B30+B31</f>
        <v>68595.739999999991</v>
      </c>
      <c r="C39" s="324">
        <f>+C6+C18+C23+C26+C27+C34+C35+C36+C37</f>
        <v>33942.609120000001</v>
      </c>
      <c r="D39" s="324">
        <f>+B39+C39</f>
        <v>102538.34912</v>
      </c>
      <c r="E39" s="309"/>
      <c r="F39" s="309"/>
      <c r="G39" s="327"/>
    </row>
    <row r="40" spans="1:7" s="310" customFormat="1" ht="24.9" customHeight="1" x14ac:dyDescent="0.3">
      <c r="B40" s="308"/>
      <c r="C40" s="308"/>
      <c r="D40" s="308"/>
      <c r="E40" s="308"/>
      <c r="F40" s="308"/>
      <c r="G40" s="326"/>
    </row>
    <row r="41" spans="1:7" s="310" customFormat="1" ht="24.9" customHeight="1" x14ac:dyDescent="0.3">
      <c r="B41" s="308"/>
      <c r="C41" s="308"/>
      <c r="D41" s="308"/>
      <c r="E41" s="308"/>
      <c r="F41" s="308"/>
      <c r="G41" s="326"/>
    </row>
    <row r="42" spans="1:7" s="310" customFormat="1" ht="24.9" customHeight="1" x14ac:dyDescent="0.3">
      <c r="B42" s="308"/>
      <c r="C42" s="308"/>
      <c r="D42" s="308"/>
      <c r="E42" s="308"/>
      <c r="F42" s="308"/>
      <c r="G42" s="326"/>
    </row>
    <row r="43" spans="1:7" s="310" customFormat="1" ht="24.9" customHeight="1" x14ac:dyDescent="0.3">
      <c r="B43" s="308"/>
      <c r="C43" s="308"/>
      <c r="D43" s="308"/>
      <c r="E43" s="308"/>
      <c r="F43" s="308"/>
      <c r="G43" s="326"/>
    </row>
    <row r="44" spans="1:7" s="310" customFormat="1" ht="24.9" customHeight="1" x14ac:dyDescent="0.3">
      <c r="B44" s="308"/>
      <c r="C44" s="308"/>
      <c r="D44" s="308"/>
      <c r="E44" s="308"/>
      <c r="F44" s="308"/>
      <c r="G44" s="326"/>
    </row>
    <row r="45" spans="1:7" s="310" customFormat="1" ht="24.9" customHeight="1" x14ac:dyDescent="0.3">
      <c r="B45" s="308"/>
      <c r="C45" s="308"/>
      <c r="D45" s="308"/>
      <c r="E45" s="308"/>
      <c r="F45" s="308"/>
      <c r="G45" s="326"/>
    </row>
    <row r="46" spans="1:7" s="310" customFormat="1" ht="24.9" customHeight="1" x14ac:dyDescent="0.3">
      <c r="B46" s="308"/>
      <c r="C46" s="308"/>
      <c r="D46" s="308"/>
      <c r="E46" s="308"/>
      <c r="F46" s="308"/>
      <c r="G46" s="326"/>
    </row>
  </sheetData>
  <mergeCells count="10">
    <mergeCell ref="E8:F8"/>
    <mergeCell ref="E9:F9"/>
    <mergeCell ref="E10:F10"/>
    <mergeCell ref="E1:G2"/>
    <mergeCell ref="B1:D1"/>
    <mergeCell ref="E4:F4"/>
    <mergeCell ref="E3:F3"/>
    <mergeCell ref="E5:F5"/>
    <mergeCell ref="E6:F6"/>
    <mergeCell ref="E7:F7"/>
  </mergeCells>
  <hyperlinks>
    <hyperlink ref="A1" location="Indice!A1" display="Índice"/>
  </hyperlinks>
  <printOptions gridLines="1"/>
  <pageMargins left="7.874015748031496E-2" right="7.874015748031496E-2" top="7.874015748031496E-2" bottom="7.874015748031496E-2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workbookViewId="0">
      <pane ySplit="5" topLeftCell="A6" activePane="bottomLeft" state="frozen"/>
      <selection pane="bottomLeft" activeCell="A9" sqref="A9:IV9"/>
    </sheetView>
  </sheetViews>
  <sheetFormatPr defaultRowHeight="13.8" x14ac:dyDescent="0.3"/>
  <cols>
    <col min="1" max="2" width="4.33203125" customWidth="1"/>
    <col min="3" max="3" width="10.33203125" customWidth="1"/>
    <col min="4" max="4" width="3.88671875" bestFit="1" customWidth="1"/>
    <col min="5" max="5" width="5.6640625" customWidth="1"/>
    <col min="6" max="6" width="6.44140625" customWidth="1"/>
    <col min="7" max="7" width="6.88671875" customWidth="1"/>
    <col min="8" max="8" width="7.109375" customWidth="1"/>
    <col min="9" max="9" width="7.33203125" customWidth="1"/>
    <col min="10" max="10" width="6" bestFit="1" customWidth="1"/>
    <col min="11" max="11" width="9.5546875" bestFit="1" customWidth="1"/>
    <col min="12" max="12" width="7.33203125" bestFit="1" customWidth="1"/>
    <col min="13" max="13" width="9.109375" customWidth="1"/>
    <col min="14" max="14" width="8" bestFit="1" customWidth="1"/>
    <col min="15" max="15" width="9" bestFit="1" customWidth="1"/>
    <col min="16" max="16" width="7.88671875" bestFit="1" customWidth="1"/>
    <col min="17" max="17" width="6.5546875" bestFit="1" customWidth="1"/>
    <col min="18" max="18" width="6.6640625" bestFit="1" customWidth="1"/>
    <col min="19" max="19" width="6.33203125" bestFit="1" customWidth="1"/>
    <col min="20" max="20" width="8.6640625" bestFit="1" customWidth="1"/>
    <col min="21" max="21" width="8.33203125" bestFit="1" customWidth="1"/>
  </cols>
  <sheetData>
    <row r="1" spans="1:21" x14ac:dyDescent="0.3">
      <c r="A1" s="479" t="s">
        <v>235</v>
      </c>
      <c r="B1" s="479" t="s">
        <v>236</v>
      </c>
      <c r="C1" s="481" t="s">
        <v>480</v>
      </c>
      <c r="D1" s="482"/>
      <c r="E1" s="482"/>
      <c r="F1" s="482"/>
      <c r="G1" s="482"/>
      <c r="H1" s="399" t="s">
        <v>917</v>
      </c>
      <c r="I1" s="23"/>
      <c r="J1" s="30"/>
      <c r="K1" s="30" t="s">
        <v>481</v>
      </c>
      <c r="L1" s="30" t="s">
        <v>482</v>
      </c>
      <c r="M1" s="30" t="s">
        <v>483</v>
      </c>
      <c r="N1" s="52" t="s">
        <v>484</v>
      </c>
      <c r="O1" s="52" t="s">
        <v>485</v>
      </c>
      <c r="P1" s="52" t="s">
        <v>486</v>
      </c>
      <c r="Q1" s="52" t="s">
        <v>487</v>
      </c>
      <c r="R1" s="30" t="s">
        <v>488</v>
      </c>
      <c r="S1" s="30" t="s">
        <v>489</v>
      </c>
      <c r="T1" s="30" t="s">
        <v>490</v>
      </c>
      <c r="U1" s="30" t="s">
        <v>491</v>
      </c>
    </row>
    <row r="2" spans="1:21" x14ac:dyDescent="0.3">
      <c r="A2" s="480"/>
      <c r="B2" s="434"/>
      <c r="C2" s="482"/>
      <c r="D2" s="482"/>
      <c r="E2" s="482"/>
      <c r="F2" s="482"/>
      <c r="G2" s="482"/>
      <c r="H2" s="204"/>
      <c r="I2" s="23"/>
      <c r="J2" s="30" t="s">
        <v>492</v>
      </c>
      <c r="K2" s="30">
        <v>3</v>
      </c>
      <c r="L2" s="30">
        <v>2</v>
      </c>
      <c r="M2" s="75">
        <v>0.1</v>
      </c>
      <c r="N2" s="52">
        <v>0.36</v>
      </c>
      <c r="O2" s="75">
        <v>2E-3</v>
      </c>
      <c r="P2" s="52">
        <v>2.74</v>
      </c>
      <c r="Q2" s="52">
        <v>1000</v>
      </c>
      <c r="R2" s="30">
        <v>3000</v>
      </c>
      <c r="S2" s="75">
        <v>0.01</v>
      </c>
      <c r="T2" s="30">
        <v>10</v>
      </c>
      <c r="U2" s="52">
        <v>10</v>
      </c>
    </row>
    <row r="3" spans="1:21" x14ac:dyDescent="0.3">
      <c r="A3" s="480"/>
      <c r="B3" s="434"/>
      <c r="C3" s="31"/>
      <c r="D3" s="30"/>
      <c r="E3" s="31"/>
      <c r="F3" s="33"/>
      <c r="G3" s="33"/>
      <c r="H3" s="33"/>
      <c r="I3" s="33"/>
      <c r="J3" s="76" t="s">
        <v>493</v>
      </c>
      <c r="K3" s="76">
        <v>5</v>
      </c>
      <c r="L3" s="76">
        <v>3</v>
      </c>
      <c r="M3" s="77">
        <v>0.1</v>
      </c>
      <c r="N3" s="78">
        <v>0.36</v>
      </c>
      <c r="O3" s="77">
        <v>2E-3</v>
      </c>
      <c r="P3" s="78">
        <v>2.74</v>
      </c>
      <c r="Q3" s="78">
        <v>1000</v>
      </c>
      <c r="R3" s="76">
        <v>3000</v>
      </c>
      <c r="S3" s="77">
        <v>0.01</v>
      </c>
      <c r="T3" s="76">
        <v>10</v>
      </c>
      <c r="U3" s="78">
        <v>9.11</v>
      </c>
    </row>
    <row r="4" spans="1:21" x14ac:dyDescent="0.3">
      <c r="A4" s="480"/>
      <c r="B4" s="434"/>
      <c r="C4" s="15" t="s">
        <v>494</v>
      </c>
      <c r="D4" s="15" t="s">
        <v>495</v>
      </c>
      <c r="E4" s="68" t="s">
        <v>496</v>
      </c>
      <c r="F4" s="17" t="s">
        <v>497</v>
      </c>
      <c r="G4" s="209" t="s">
        <v>616</v>
      </c>
      <c r="H4" s="17" t="s">
        <v>617</v>
      </c>
      <c r="I4" s="17" t="s">
        <v>66</v>
      </c>
      <c r="J4" s="15" t="s">
        <v>498</v>
      </c>
      <c r="K4" s="15" t="s">
        <v>81</v>
      </c>
      <c r="L4" s="15" t="s">
        <v>499</v>
      </c>
      <c r="M4" s="15" t="s">
        <v>500</v>
      </c>
      <c r="N4" s="70" t="s">
        <v>501</v>
      </c>
      <c r="O4" s="70" t="s">
        <v>502</v>
      </c>
      <c r="P4" s="70" t="s">
        <v>503</v>
      </c>
      <c r="Q4" s="70" t="s">
        <v>504</v>
      </c>
      <c r="R4" s="15" t="s">
        <v>505</v>
      </c>
      <c r="S4" s="15" t="s">
        <v>506</v>
      </c>
      <c r="T4" s="15" t="s">
        <v>507</v>
      </c>
      <c r="U4" s="15" t="s">
        <v>243</v>
      </c>
    </row>
    <row r="5" spans="1:21" x14ac:dyDescent="0.3">
      <c r="A5" s="480"/>
      <c r="B5" s="434"/>
      <c r="C5" s="15"/>
      <c r="D5" s="15" t="s">
        <v>85</v>
      </c>
      <c r="E5" s="68" t="s">
        <v>84</v>
      </c>
      <c r="F5" s="15" t="s">
        <v>84</v>
      </c>
      <c r="G5" s="68" t="s">
        <v>86</v>
      </c>
      <c r="H5" s="15" t="s">
        <v>86</v>
      </c>
      <c r="I5" s="15" t="s">
        <v>244</v>
      </c>
      <c r="J5" s="15" t="s">
        <v>87</v>
      </c>
      <c r="K5" s="15" t="s">
        <v>87</v>
      </c>
      <c r="L5" s="15" t="s">
        <v>87</v>
      </c>
      <c r="M5" s="15" t="s">
        <v>87</v>
      </c>
      <c r="N5" s="15" t="s">
        <v>87</v>
      </c>
      <c r="O5" s="15" t="s">
        <v>87</v>
      </c>
      <c r="P5" s="70" t="s">
        <v>87</v>
      </c>
      <c r="Q5" s="15" t="s">
        <v>87</v>
      </c>
      <c r="R5" s="15" t="s">
        <v>87</v>
      </c>
      <c r="S5" s="15" t="s">
        <v>87</v>
      </c>
      <c r="T5" s="15" t="s">
        <v>87</v>
      </c>
      <c r="U5" s="15" t="s">
        <v>87</v>
      </c>
    </row>
    <row r="6" spans="1:21" x14ac:dyDescent="0.3">
      <c r="A6" s="72">
        <v>1</v>
      </c>
      <c r="B6" s="64">
        <v>1</v>
      </c>
      <c r="C6" s="79" t="s">
        <v>508</v>
      </c>
      <c r="D6" s="64">
        <v>27</v>
      </c>
      <c r="E6" s="74">
        <v>13445</v>
      </c>
      <c r="F6" s="64">
        <v>13500</v>
      </c>
      <c r="G6" s="74">
        <v>10</v>
      </c>
      <c r="H6" s="64">
        <v>10</v>
      </c>
      <c r="I6" s="64">
        <v>500</v>
      </c>
      <c r="J6" s="19">
        <f>(F6*0.9)/(H6*I6)</f>
        <v>2.4300000000000002</v>
      </c>
      <c r="K6" s="19">
        <f>((F6*1.1)/(2*I6))*($K$2/100)</f>
        <v>0.44550000000000001</v>
      </c>
      <c r="L6" s="19">
        <f>((F6*1.1)/(2*I6)*($L$2/100))</f>
        <v>0.29700000000000004</v>
      </c>
      <c r="M6" s="21">
        <f>+J6+K6+L6</f>
        <v>3.1725000000000003</v>
      </c>
      <c r="N6" s="21">
        <f>+D6*$M$2*$N$2</f>
        <v>0.97199999999999998</v>
      </c>
      <c r="O6" s="21">
        <f>+D6*$O$2*$P$2</f>
        <v>0.14796000000000001</v>
      </c>
      <c r="P6" s="21">
        <f>+$Q$2/$R$2</f>
        <v>0.33333333333333331</v>
      </c>
      <c r="Q6" s="21">
        <f>+F6*($S$2/100)</f>
        <v>1.35</v>
      </c>
      <c r="R6" s="19">
        <f>+Q6*$T$2/100</f>
        <v>0.13500000000000001</v>
      </c>
      <c r="S6" s="64">
        <f>+$U$2</f>
        <v>10</v>
      </c>
      <c r="T6" s="21">
        <f>+N6+O6+P6+Q6+R6+S6</f>
        <v>12.938293333333334</v>
      </c>
      <c r="U6" s="21">
        <f>+M6+T6</f>
        <v>16.110793333333334</v>
      </c>
    </row>
    <row r="7" spans="1:21" x14ac:dyDescent="0.3">
      <c r="A7" s="72">
        <f>+A6+1</f>
        <v>2</v>
      </c>
      <c r="B7" s="64">
        <v>1</v>
      </c>
      <c r="C7" s="79" t="s">
        <v>508</v>
      </c>
      <c r="D7" s="64">
        <v>35</v>
      </c>
      <c r="E7" s="74">
        <v>16737</v>
      </c>
      <c r="F7" s="80">
        <v>16737</v>
      </c>
      <c r="G7" s="74">
        <v>10</v>
      </c>
      <c r="H7" s="64">
        <v>10</v>
      </c>
      <c r="I7" s="64">
        <v>500</v>
      </c>
      <c r="J7" s="19">
        <f t="shared" ref="J7:J45" si="0">(F7*0.9)/(H7*I7)</f>
        <v>3.0126600000000003</v>
      </c>
      <c r="K7" s="19">
        <f t="shared" ref="K7:K45" si="1">((F7*1.1)/(2*I7))*($K$2/100)</f>
        <v>0.55232100000000006</v>
      </c>
      <c r="L7" s="19">
        <f t="shared" ref="L7:L45" si="2">((F7*1.1)/(2*I7)*($L$2/100))</f>
        <v>0.36821400000000004</v>
      </c>
      <c r="M7" s="21">
        <f t="shared" ref="M7:M45" si="3">+J7+K7+L7</f>
        <v>3.9331950000000004</v>
      </c>
      <c r="N7" s="21">
        <f t="shared" ref="N7:N45" si="4">+D7*$M$2*$N$2</f>
        <v>1.26</v>
      </c>
      <c r="O7" s="21">
        <f t="shared" ref="O7:O45" si="5">+D7*$O$2*$P$2</f>
        <v>0.19180000000000003</v>
      </c>
      <c r="P7" s="21">
        <f t="shared" ref="P7:P45" si="6">+$Q$2/$R$2</f>
        <v>0.33333333333333331</v>
      </c>
      <c r="Q7" s="21">
        <f t="shared" ref="Q7:Q45" si="7">+F7*($S$2/100)</f>
        <v>1.6737000000000002</v>
      </c>
      <c r="R7" s="19">
        <f t="shared" ref="R7:R45" si="8">+Q7*$T$2/100</f>
        <v>0.16737000000000002</v>
      </c>
      <c r="S7" s="64">
        <f t="shared" ref="S7:S45" si="9">+$U$2</f>
        <v>10</v>
      </c>
      <c r="T7" s="21">
        <f t="shared" ref="T7:T45" si="10">+N7+O7+P7+Q7+R7+S7</f>
        <v>13.626203333333333</v>
      </c>
      <c r="U7" s="21">
        <f t="shared" ref="U7:U45" si="11">+M7+T7</f>
        <v>17.559398333333334</v>
      </c>
    </row>
    <row r="8" spans="1:21" x14ac:dyDescent="0.3">
      <c r="A8" s="72">
        <f t="shared" ref="A8:A45" si="12">+A7+1</f>
        <v>3</v>
      </c>
      <c r="B8" s="64">
        <v>1</v>
      </c>
      <c r="C8" s="79" t="s">
        <v>508</v>
      </c>
      <c r="D8" s="64">
        <v>45</v>
      </c>
      <c r="E8" s="74">
        <v>20804</v>
      </c>
      <c r="F8" s="80">
        <v>20900</v>
      </c>
      <c r="G8" s="74">
        <v>10</v>
      </c>
      <c r="H8" s="64">
        <v>10</v>
      </c>
      <c r="I8" s="64">
        <v>500</v>
      </c>
      <c r="J8" s="19">
        <f t="shared" si="0"/>
        <v>3.762</v>
      </c>
      <c r="K8" s="19">
        <f t="shared" si="1"/>
        <v>0.68969999999999998</v>
      </c>
      <c r="L8" s="19">
        <f t="shared" si="2"/>
        <v>0.45980000000000004</v>
      </c>
      <c r="M8" s="21">
        <f t="shared" si="3"/>
        <v>4.9115000000000002</v>
      </c>
      <c r="N8" s="21">
        <f t="shared" si="4"/>
        <v>1.6199999999999999</v>
      </c>
      <c r="O8" s="21">
        <f t="shared" si="5"/>
        <v>0.24660000000000001</v>
      </c>
      <c r="P8" s="21">
        <f t="shared" si="6"/>
        <v>0.33333333333333331</v>
      </c>
      <c r="Q8" s="21">
        <f t="shared" si="7"/>
        <v>2.0900000000000003</v>
      </c>
      <c r="R8" s="19">
        <f t="shared" si="8"/>
        <v>0.20900000000000002</v>
      </c>
      <c r="S8" s="64">
        <f t="shared" si="9"/>
        <v>10</v>
      </c>
      <c r="T8" s="21">
        <f t="shared" si="10"/>
        <v>14.498933333333333</v>
      </c>
      <c r="U8" s="21">
        <f t="shared" si="11"/>
        <v>19.410433333333334</v>
      </c>
    </row>
    <row r="9" spans="1:21" x14ac:dyDescent="0.3">
      <c r="A9" s="72">
        <f t="shared" si="12"/>
        <v>4</v>
      </c>
      <c r="B9" s="64">
        <v>1</v>
      </c>
      <c r="C9" s="79" t="s">
        <v>508</v>
      </c>
      <c r="D9" s="64">
        <v>53</v>
      </c>
      <c r="E9" s="74">
        <v>24096</v>
      </c>
      <c r="F9" s="80">
        <v>24100</v>
      </c>
      <c r="G9" s="74">
        <v>10</v>
      </c>
      <c r="H9" s="64">
        <v>10</v>
      </c>
      <c r="I9" s="64">
        <v>500</v>
      </c>
      <c r="J9" s="19">
        <f t="shared" si="0"/>
        <v>4.3380000000000001</v>
      </c>
      <c r="K9" s="19">
        <f t="shared" si="1"/>
        <v>0.79530000000000012</v>
      </c>
      <c r="L9" s="19">
        <f t="shared" si="2"/>
        <v>0.53020000000000012</v>
      </c>
      <c r="M9" s="21">
        <f t="shared" si="3"/>
        <v>5.6635</v>
      </c>
      <c r="N9" s="21">
        <f t="shared" si="4"/>
        <v>1.9080000000000001</v>
      </c>
      <c r="O9" s="21">
        <f t="shared" si="5"/>
        <v>0.29044000000000003</v>
      </c>
      <c r="P9" s="21">
        <f t="shared" si="6"/>
        <v>0.33333333333333331</v>
      </c>
      <c r="Q9" s="21">
        <f t="shared" si="7"/>
        <v>2.41</v>
      </c>
      <c r="R9" s="19">
        <f t="shared" si="8"/>
        <v>0.24100000000000002</v>
      </c>
      <c r="S9" s="64">
        <f t="shared" si="9"/>
        <v>10</v>
      </c>
      <c r="T9" s="21">
        <f t="shared" si="10"/>
        <v>15.182773333333333</v>
      </c>
      <c r="U9" s="21">
        <f t="shared" si="11"/>
        <v>20.846273333333333</v>
      </c>
    </row>
    <row r="10" spans="1:21" x14ac:dyDescent="0.3">
      <c r="A10" s="72">
        <f t="shared" si="12"/>
        <v>5</v>
      </c>
      <c r="B10" s="64">
        <v>1</v>
      </c>
      <c r="C10" s="79" t="s">
        <v>508</v>
      </c>
      <c r="D10" s="64">
        <v>60</v>
      </c>
      <c r="E10" s="74">
        <v>26952</v>
      </c>
      <c r="F10" s="80">
        <v>26952</v>
      </c>
      <c r="G10" s="74">
        <v>10</v>
      </c>
      <c r="H10" s="64">
        <v>10</v>
      </c>
      <c r="I10" s="64">
        <v>500</v>
      </c>
      <c r="J10" s="19">
        <f t="shared" si="0"/>
        <v>4.8513599999999997</v>
      </c>
      <c r="K10" s="19">
        <f t="shared" si="1"/>
        <v>0.88941599999999998</v>
      </c>
      <c r="L10" s="19">
        <f t="shared" si="2"/>
        <v>0.59294400000000003</v>
      </c>
      <c r="M10" s="21">
        <f t="shared" si="3"/>
        <v>6.3337199999999996</v>
      </c>
      <c r="N10" s="21">
        <f t="shared" si="4"/>
        <v>2.16</v>
      </c>
      <c r="O10" s="21">
        <f t="shared" si="5"/>
        <v>0.32880000000000004</v>
      </c>
      <c r="P10" s="21">
        <f t="shared" si="6"/>
        <v>0.33333333333333331</v>
      </c>
      <c r="Q10" s="21">
        <f t="shared" si="7"/>
        <v>2.6952000000000003</v>
      </c>
      <c r="R10" s="19">
        <f t="shared" si="8"/>
        <v>0.26952000000000004</v>
      </c>
      <c r="S10" s="64">
        <f t="shared" si="9"/>
        <v>10</v>
      </c>
      <c r="T10" s="21">
        <f t="shared" si="10"/>
        <v>15.786853333333333</v>
      </c>
      <c r="U10" s="21">
        <f t="shared" si="11"/>
        <v>22.120573333333333</v>
      </c>
    </row>
    <row r="11" spans="1:21" x14ac:dyDescent="0.3">
      <c r="A11" s="72">
        <f t="shared" si="12"/>
        <v>6</v>
      </c>
      <c r="B11" s="64">
        <v>1</v>
      </c>
      <c r="C11" s="79" t="s">
        <v>508</v>
      </c>
      <c r="D11" s="64">
        <v>70</v>
      </c>
      <c r="E11" s="74">
        <v>31051</v>
      </c>
      <c r="F11" s="80">
        <v>31051</v>
      </c>
      <c r="G11" s="74">
        <v>10</v>
      </c>
      <c r="H11" s="64">
        <v>10</v>
      </c>
      <c r="I11" s="64">
        <v>500</v>
      </c>
      <c r="J11" s="19">
        <f t="shared" si="0"/>
        <v>5.5891800000000007</v>
      </c>
      <c r="K11" s="19">
        <f t="shared" si="1"/>
        <v>1.0246830000000002</v>
      </c>
      <c r="L11" s="19">
        <f t="shared" si="2"/>
        <v>0.68312200000000023</v>
      </c>
      <c r="M11" s="21">
        <f t="shared" si="3"/>
        <v>7.2969850000000012</v>
      </c>
      <c r="N11" s="21">
        <f t="shared" si="4"/>
        <v>2.52</v>
      </c>
      <c r="O11" s="21">
        <f t="shared" si="5"/>
        <v>0.38360000000000005</v>
      </c>
      <c r="P11" s="21">
        <f t="shared" si="6"/>
        <v>0.33333333333333331</v>
      </c>
      <c r="Q11" s="21">
        <f t="shared" si="7"/>
        <v>3.1051000000000002</v>
      </c>
      <c r="R11" s="19">
        <f t="shared" si="8"/>
        <v>0.31051000000000001</v>
      </c>
      <c r="S11" s="64">
        <f t="shared" si="9"/>
        <v>10</v>
      </c>
      <c r="T11" s="21">
        <f t="shared" si="10"/>
        <v>16.652543333333334</v>
      </c>
      <c r="U11" s="21">
        <f t="shared" si="11"/>
        <v>23.949528333333333</v>
      </c>
    </row>
    <row r="12" spans="1:21" x14ac:dyDescent="0.3">
      <c r="A12" s="72">
        <f t="shared" si="12"/>
        <v>7</v>
      </c>
      <c r="B12" s="64">
        <v>1</v>
      </c>
      <c r="C12" s="79" t="s">
        <v>508</v>
      </c>
      <c r="D12" s="64">
        <v>80</v>
      </c>
      <c r="E12" s="74">
        <v>35088</v>
      </c>
      <c r="F12" s="80">
        <v>35088</v>
      </c>
      <c r="G12" s="74">
        <v>10</v>
      </c>
      <c r="H12" s="64">
        <v>10</v>
      </c>
      <c r="I12" s="64">
        <v>500</v>
      </c>
      <c r="J12" s="19">
        <f t="shared" si="0"/>
        <v>6.3158400000000006</v>
      </c>
      <c r="K12" s="19">
        <f t="shared" si="1"/>
        <v>1.157904</v>
      </c>
      <c r="L12" s="19">
        <f t="shared" si="2"/>
        <v>0.77193600000000007</v>
      </c>
      <c r="M12" s="21">
        <f t="shared" si="3"/>
        <v>8.2456800000000001</v>
      </c>
      <c r="N12" s="21">
        <f t="shared" si="4"/>
        <v>2.88</v>
      </c>
      <c r="O12" s="21">
        <f t="shared" si="5"/>
        <v>0.43840000000000007</v>
      </c>
      <c r="P12" s="21">
        <f t="shared" si="6"/>
        <v>0.33333333333333331</v>
      </c>
      <c r="Q12" s="21">
        <f t="shared" si="7"/>
        <v>3.5088000000000004</v>
      </c>
      <c r="R12" s="19">
        <f t="shared" si="8"/>
        <v>0.35088000000000003</v>
      </c>
      <c r="S12" s="64">
        <f t="shared" si="9"/>
        <v>10</v>
      </c>
      <c r="T12" s="21">
        <f t="shared" si="10"/>
        <v>17.511413333333333</v>
      </c>
      <c r="U12" s="21">
        <f t="shared" si="11"/>
        <v>25.757093333333334</v>
      </c>
    </row>
    <row r="13" spans="1:21" x14ac:dyDescent="0.3">
      <c r="A13" s="72">
        <f t="shared" si="12"/>
        <v>8</v>
      </c>
      <c r="B13" s="64">
        <v>1</v>
      </c>
      <c r="C13" s="79" t="s">
        <v>508</v>
      </c>
      <c r="D13" s="64">
        <v>90</v>
      </c>
      <c r="E13" s="74">
        <v>29124</v>
      </c>
      <c r="F13" s="80">
        <v>29124</v>
      </c>
      <c r="G13" s="74">
        <v>10</v>
      </c>
      <c r="H13" s="64">
        <v>10</v>
      </c>
      <c r="I13" s="64">
        <v>500</v>
      </c>
      <c r="J13" s="19">
        <f t="shared" si="0"/>
        <v>5.2423200000000003</v>
      </c>
      <c r="K13" s="19">
        <f t="shared" si="1"/>
        <v>0.96109199999999995</v>
      </c>
      <c r="L13" s="19">
        <f t="shared" si="2"/>
        <v>0.64072800000000008</v>
      </c>
      <c r="M13" s="21">
        <f t="shared" si="3"/>
        <v>6.8441400000000003</v>
      </c>
      <c r="N13" s="21">
        <f t="shared" si="4"/>
        <v>3.2399999999999998</v>
      </c>
      <c r="O13" s="21">
        <f t="shared" si="5"/>
        <v>0.49320000000000003</v>
      </c>
      <c r="P13" s="21">
        <f t="shared" si="6"/>
        <v>0.33333333333333331</v>
      </c>
      <c r="Q13" s="21">
        <f t="shared" si="7"/>
        <v>2.9124000000000003</v>
      </c>
      <c r="R13" s="19">
        <f t="shared" si="8"/>
        <v>0.29124</v>
      </c>
      <c r="S13" s="64">
        <f t="shared" si="9"/>
        <v>10</v>
      </c>
      <c r="T13" s="21">
        <f t="shared" si="10"/>
        <v>17.270173333333332</v>
      </c>
      <c r="U13" s="21">
        <f t="shared" si="11"/>
        <v>24.114313333333332</v>
      </c>
    </row>
    <row r="14" spans="1:21" x14ac:dyDescent="0.3">
      <c r="A14" s="72">
        <f t="shared" si="12"/>
        <v>9</v>
      </c>
      <c r="B14" s="64">
        <v>1</v>
      </c>
      <c r="C14" s="79" t="s">
        <v>508</v>
      </c>
      <c r="D14" s="64">
        <v>105</v>
      </c>
      <c r="E14" s="74">
        <v>45335</v>
      </c>
      <c r="F14" s="80">
        <v>45335</v>
      </c>
      <c r="G14" s="74">
        <v>10</v>
      </c>
      <c r="H14" s="64">
        <v>10</v>
      </c>
      <c r="I14" s="64">
        <v>500</v>
      </c>
      <c r="J14" s="19">
        <f t="shared" si="0"/>
        <v>8.1602999999999994</v>
      </c>
      <c r="K14" s="19">
        <f t="shared" si="1"/>
        <v>1.4960550000000001</v>
      </c>
      <c r="L14" s="19">
        <f t="shared" si="2"/>
        <v>0.99737000000000009</v>
      </c>
      <c r="M14" s="21">
        <f t="shared" si="3"/>
        <v>10.653725</v>
      </c>
      <c r="N14" s="21">
        <f t="shared" si="4"/>
        <v>3.78</v>
      </c>
      <c r="O14" s="21">
        <f t="shared" si="5"/>
        <v>0.57540000000000002</v>
      </c>
      <c r="P14" s="21">
        <f t="shared" si="6"/>
        <v>0.33333333333333331</v>
      </c>
      <c r="Q14" s="21">
        <f t="shared" si="7"/>
        <v>4.5335000000000001</v>
      </c>
      <c r="R14" s="19">
        <f t="shared" si="8"/>
        <v>0.45335000000000003</v>
      </c>
      <c r="S14" s="64">
        <f t="shared" si="9"/>
        <v>10</v>
      </c>
      <c r="T14" s="21">
        <f t="shared" si="10"/>
        <v>19.675583333333332</v>
      </c>
      <c r="U14" s="21">
        <f t="shared" si="11"/>
        <v>30.32930833333333</v>
      </c>
    </row>
    <row r="15" spans="1:21" x14ac:dyDescent="0.3">
      <c r="A15" s="72">
        <f t="shared" si="12"/>
        <v>10</v>
      </c>
      <c r="B15" s="64">
        <v>1</v>
      </c>
      <c r="C15" s="79" t="s">
        <v>508</v>
      </c>
      <c r="D15" s="64">
        <v>120</v>
      </c>
      <c r="E15" s="74">
        <v>51545</v>
      </c>
      <c r="F15" s="80">
        <v>51545</v>
      </c>
      <c r="G15" s="74">
        <v>10</v>
      </c>
      <c r="H15" s="64">
        <v>10</v>
      </c>
      <c r="I15" s="64">
        <v>500</v>
      </c>
      <c r="J15" s="19">
        <f t="shared" si="0"/>
        <v>9.2781000000000002</v>
      </c>
      <c r="K15" s="19">
        <f t="shared" si="1"/>
        <v>1.7009850000000002</v>
      </c>
      <c r="L15" s="19">
        <f t="shared" si="2"/>
        <v>1.1339900000000003</v>
      </c>
      <c r="M15" s="21">
        <f t="shared" si="3"/>
        <v>12.113075000000002</v>
      </c>
      <c r="N15" s="21">
        <f t="shared" si="4"/>
        <v>4.32</v>
      </c>
      <c r="O15" s="21">
        <f t="shared" si="5"/>
        <v>0.65760000000000007</v>
      </c>
      <c r="P15" s="21">
        <f t="shared" si="6"/>
        <v>0.33333333333333331</v>
      </c>
      <c r="Q15" s="21">
        <f t="shared" si="7"/>
        <v>5.1545000000000005</v>
      </c>
      <c r="R15" s="19">
        <f t="shared" si="8"/>
        <v>0.51544999999999996</v>
      </c>
      <c r="S15" s="64">
        <f t="shared" si="9"/>
        <v>10</v>
      </c>
      <c r="T15" s="21">
        <f t="shared" si="10"/>
        <v>20.980883333333331</v>
      </c>
      <c r="U15" s="21">
        <f t="shared" si="11"/>
        <v>33.093958333333333</v>
      </c>
    </row>
    <row r="16" spans="1:21" x14ac:dyDescent="0.3">
      <c r="A16" s="72">
        <f t="shared" si="12"/>
        <v>11</v>
      </c>
      <c r="B16" s="64">
        <v>1</v>
      </c>
      <c r="C16" s="79" t="s">
        <v>508</v>
      </c>
      <c r="D16" s="64">
        <v>140</v>
      </c>
      <c r="E16" s="74">
        <v>59618</v>
      </c>
      <c r="F16" s="80">
        <v>59618</v>
      </c>
      <c r="G16" s="74">
        <v>10</v>
      </c>
      <c r="H16" s="64">
        <v>10</v>
      </c>
      <c r="I16" s="64">
        <v>500</v>
      </c>
      <c r="J16" s="19">
        <f t="shared" si="0"/>
        <v>10.731240000000001</v>
      </c>
      <c r="K16" s="19">
        <f t="shared" si="1"/>
        <v>1.9673940000000001</v>
      </c>
      <c r="L16" s="19">
        <f t="shared" si="2"/>
        <v>1.3115960000000002</v>
      </c>
      <c r="M16" s="21">
        <f t="shared" si="3"/>
        <v>14.010230000000002</v>
      </c>
      <c r="N16" s="21">
        <f t="shared" si="4"/>
        <v>5.04</v>
      </c>
      <c r="O16" s="21">
        <f t="shared" si="5"/>
        <v>0.7672000000000001</v>
      </c>
      <c r="P16" s="21">
        <f t="shared" si="6"/>
        <v>0.33333333333333331</v>
      </c>
      <c r="Q16" s="21">
        <f t="shared" si="7"/>
        <v>5.9618000000000002</v>
      </c>
      <c r="R16" s="19">
        <f t="shared" si="8"/>
        <v>0.59618000000000004</v>
      </c>
      <c r="S16" s="64">
        <f t="shared" si="9"/>
        <v>10</v>
      </c>
      <c r="T16" s="21">
        <f t="shared" si="10"/>
        <v>22.698513333333334</v>
      </c>
      <c r="U16" s="21">
        <f t="shared" si="11"/>
        <v>36.708743333333338</v>
      </c>
    </row>
    <row r="17" spans="1:21" x14ac:dyDescent="0.3">
      <c r="A17" s="72">
        <f t="shared" si="12"/>
        <v>12</v>
      </c>
      <c r="B17" s="64">
        <v>1</v>
      </c>
      <c r="C17" s="79" t="s">
        <v>508</v>
      </c>
      <c r="D17" s="64">
        <v>160</v>
      </c>
      <c r="E17" s="74">
        <v>68002</v>
      </c>
      <c r="F17" s="80">
        <v>68002</v>
      </c>
      <c r="G17" s="74">
        <v>10</v>
      </c>
      <c r="H17" s="64">
        <v>10</v>
      </c>
      <c r="I17" s="64">
        <v>500</v>
      </c>
      <c r="J17" s="19">
        <f t="shared" si="0"/>
        <v>12.240360000000001</v>
      </c>
      <c r="K17" s="19">
        <f t="shared" si="1"/>
        <v>2.2440660000000001</v>
      </c>
      <c r="L17" s="19">
        <f t="shared" si="2"/>
        <v>1.4960440000000004</v>
      </c>
      <c r="M17" s="21">
        <f t="shared" si="3"/>
        <v>15.98047</v>
      </c>
      <c r="N17" s="21">
        <f t="shared" si="4"/>
        <v>5.76</v>
      </c>
      <c r="O17" s="21">
        <f t="shared" si="5"/>
        <v>0.87680000000000013</v>
      </c>
      <c r="P17" s="21">
        <f t="shared" si="6"/>
        <v>0.33333333333333331</v>
      </c>
      <c r="Q17" s="21">
        <f t="shared" si="7"/>
        <v>6.8002000000000002</v>
      </c>
      <c r="R17" s="19">
        <f t="shared" si="8"/>
        <v>0.68002000000000007</v>
      </c>
      <c r="S17" s="64">
        <f t="shared" si="9"/>
        <v>10</v>
      </c>
      <c r="T17" s="21">
        <f t="shared" si="10"/>
        <v>24.450353333333332</v>
      </c>
      <c r="U17" s="21">
        <f t="shared" si="11"/>
        <v>40.430823333333336</v>
      </c>
    </row>
    <row r="18" spans="1:21" x14ac:dyDescent="0.3">
      <c r="A18" s="72">
        <f t="shared" si="12"/>
        <v>13</v>
      </c>
      <c r="B18" s="64">
        <v>2</v>
      </c>
      <c r="C18" s="79" t="s">
        <v>509</v>
      </c>
      <c r="D18" s="64">
        <v>18</v>
      </c>
      <c r="E18" s="74">
        <v>11471</v>
      </c>
      <c r="F18" s="80">
        <v>11471</v>
      </c>
      <c r="G18" s="74">
        <v>10</v>
      </c>
      <c r="H18" s="64">
        <v>10</v>
      </c>
      <c r="I18" s="64">
        <v>500</v>
      </c>
      <c r="J18" s="19">
        <f t="shared" si="0"/>
        <v>2.0647799999999998</v>
      </c>
      <c r="K18" s="19">
        <f t="shared" si="1"/>
        <v>0.37854299999999996</v>
      </c>
      <c r="L18" s="19">
        <f t="shared" si="2"/>
        <v>0.25236200000000003</v>
      </c>
      <c r="M18" s="21">
        <f t="shared" si="3"/>
        <v>2.6956850000000001</v>
      </c>
      <c r="N18" s="21">
        <f t="shared" si="4"/>
        <v>0.64800000000000002</v>
      </c>
      <c r="O18" s="21">
        <f t="shared" si="5"/>
        <v>9.8640000000000019E-2</v>
      </c>
      <c r="P18" s="21">
        <f t="shared" si="6"/>
        <v>0.33333333333333331</v>
      </c>
      <c r="Q18" s="21">
        <f t="shared" si="7"/>
        <v>1.1471</v>
      </c>
      <c r="R18" s="19">
        <f t="shared" si="8"/>
        <v>0.11471000000000001</v>
      </c>
      <c r="S18" s="64">
        <f t="shared" si="9"/>
        <v>10</v>
      </c>
      <c r="T18" s="21">
        <f t="shared" si="10"/>
        <v>12.341783333333334</v>
      </c>
      <c r="U18" s="21">
        <f t="shared" si="11"/>
        <v>15.037468333333333</v>
      </c>
    </row>
    <row r="19" spans="1:21" x14ac:dyDescent="0.3">
      <c r="A19" s="72">
        <f t="shared" si="12"/>
        <v>14</v>
      </c>
      <c r="B19" s="64">
        <v>2</v>
      </c>
      <c r="C19" s="79" t="s">
        <v>509</v>
      </c>
      <c r="D19" s="64">
        <v>27</v>
      </c>
      <c r="E19" s="74">
        <v>15818</v>
      </c>
      <c r="F19" s="80">
        <v>15818</v>
      </c>
      <c r="G19" s="74">
        <v>10</v>
      </c>
      <c r="H19" s="64">
        <v>10</v>
      </c>
      <c r="I19" s="64">
        <v>500</v>
      </c>
      <c r="J19" s="19">
        <f t="shared" si="0"/>
        <v>2.8472400000000002</v>
      </c>
      <c r="K19" s="19">
        <f t="shared" si="1"/>
        <v>0.52199400000000007</v>
      </c>
      <c r="L19" s="19">
        <f t="shared" si="2"/>
        <v>0.34799600000000008</v>
      </c>
      <c r="M19" s="21">
        <f t="shared" si="3"/>
        <v>3.7172300000000007</v>
      </c>
      <c r="N19" s="21">
        <f t="shared" si="4"/>
        <v>0.97199999999999998</v>
      </c>
      <c r="O19" s="21">
        <f t="shared" si="5"/>
        <v>0.14796000000000001</v>
      </c>
      <c r="P19" s="21">
        <f t="shared" si="6"/>
        <v>0.33333333333333331</v>
      </c>
      <c r="Q19" s="21">
        <f t="shared" si="7"/>
        <v>1.5818000000000001</v>
      </c>
      <c r="R19" s="19">
        <f t="shared" si="8"/>
        <v>0.15818000000000002</v>
      </c>
      <c r="S19" s="64">
        <f t="shared" si="9"/>
        <v>10</v>
      </c>
      <c r="T19" s="21">
        <f t="shared" si="10"/>
        <v>13.193273333333334</v>
      </c>
      <c r="U19" s="21">
        <f t="shared" si="11"/>
        <v>16.910503333333335</v>
      </c>
    </row>
    <row r="20" spans="1:21" x14ac:dyDescent="0.3">
      <c r="A20" s="72">
        <f t="shared" si="12"/>
        <v>15</v>
      </c>
      <c r="B20" s="64">
        <v>2</v>
      </c>
      <c r="C20" s="79" t="s">
        <v>509</v>
      </c>
      <c r="D20" s="64">
        <v>35</v>
      </c>
      <c r="E20" s="74">
        <v>19690</v>
      </c>
      <c r="F20" s="80">
        <v>19690</v>
      </c>
      <c r="G20" s="74">
        <v>10</v>
      </c>
      <c r="H20" s="64">
        <v>10</v>
      </c>
      <c r="I20" s="64">
        <v>500</v>
      </c>
      <c r="J20" s="19">
        <f t="shared" si="0"/>
        <v>3.5442</v>
      </c>
      <c r="K20" s="19">
        <f t="shared" si="1"/>
        <v>0.64976999999999996</v>
      </c>
      <c r="L20" s="19">
        <f t="shared" si="2"/>
        <v>0.43318000000000001</v>
      </c>
      <c r="M20" s="21">
        <f t="shared" si="3"/>
        <v>4.6271500000000003</v>
      </c>
      <c r="N20" s="21">
        <f t="shared" si="4"/>
        <v>1.26</v>
      </c>
      <c r="O20" s="21">
        <f t="shared" si="5"/>
        <v>0.19180000000000003</v>
      </c>
      <c r="P20" s="21">
        <f t="shared" si="6"/>
        <v>0.33333333333333331</v>
      </c>
      <c r="Q20" s="21">
        <f t="shared" si="7"/>
        <v>1.9690000000000001</v>
      </c>
      <c r="R20" s="19">
        <f t="shared" si="8"/>
        <v>0.19690000000000002</v>
      </c>
      <c r="S20" s="64">
        <f t="shared" si="9"/>
        <v>10</v>
      </c>
      <c r="T20" s="21">
        <f t="shared" si="10"/>
        <v>13.951033333333333</v>
      </c>
      <c r="U20" s="21">
        <f t="shared" si="11"/>
        <v>18.578183333333335</v>
      </c>
    </row>
    <row r="21" spans="1:21" x14ac:dyDescent="0.3">
      <c r="A21" s="72">
        <f t="shared" si="12"/>
        <v>16</v>
      </c>
      <c r="B21" s="64">
        <v>2</v>
      </c>
      <c r="C21" s="79" t="s">
        <v>509</v>
      </c>
      <c r="D21" s="64">
        <v>45</v>
      </c>
      <c r="E21" s="74">
        <v>24476</v>
      </c>
      <c r="F21" s="80">
        <v>24476</v>
      </c>
      <c r="G21" s="74">
        <v>10</v>
      </c>
      <c r="H21" s="64">
        <v>10</v>
      </c>
      <c r="I21" s="64">
        <v>500</v>
      </c>
      <c r="J21" s="19">
        <f t="shared" si="0"/>
        <v>4.4056800000000003</v>
      </c>
      <c r="K21" s="19">
        <f t="shared" si="1"/>
        <v>0.80770799999999998</v>
      </c>
      <c r="L21" s="19">
        <f t="shared" si="2"/>
        <v>0.53847200000000006</v>
      </c>
      <c r="M21" s="21">
        <f t="shared" si="3"/>
        <v>5.7518600000000006</v>
      </c>
      <c r="N21" s="21">
        <f t="shared" si="4"/>
        <v>1.6199999999999999</v>
      </c>
      <c r="O21" s="21">
        <f t="shared" si="5"/>
        <v>0.24660000000000001</v>
      </c>
      <c r="P21" s="21">
        <f t="shared" si="6"/>
        <v>0.33333333333333331</v>
      </c>
      <c r="Q21" s="21">
        <f t="shared" si="7"/>
        <v>2.4476</v>
      </c>
      <c r="R21" s="19">
        <f t="shared" si="8"/>
        <v>0.24475999999999998</v>
      </c>
      <c r="S21" s="64">
        <f t="shared" si="9"/>
        <v>10</v>
      </c>
      <c r="T21" s="21">
        <f t="shared" si="10"/>
        <v>14.892293333333335</v>
      </c>
      <c r="U21" s="21">
        <f t="shared" si="11"/>
        <v>20.644153333333335</v>
      </c>
    </row>
    <row r="22" spans="1:21" x14ac:dyDescent="0.3">
      <c r="A22" s="72">
        <f t="shared" si="12"/>
        <v>17</v>
      </c>
      <c r="B22" s="64">
        <v>2</v>
      </c>
      <c r="C22" s="79" t="s">
        <v>509</v>
      </c>
      <c r="D22" s="64">
        <v>53</v>
      </c>
      <c r="E22" s="74">
        <v>28348</v>
      </c>
      <c r="F22" s="80">
        <v>28348</v>
      </c>
      <c r="G22" s="74">
        <v>10</v>
      </c>
      <c r="H22" s="64">
        <v>10</v>
      </c>
      <c r="I22" s="64">
        <v>500</v>
      </c>
      <c r="J22" s="19">
        <f t="shared" si="0"/>
        <v>5.1026400000000001</v>
      </c>
      <c r="K22" s="19">
        <f t="shared" si="1"/>
        <v>0.93548400000000009</v>
      </c>
      <c r="L22" s="19">
        <f t="shared" si="2"/>
        <v>0.6236560000000001</v>
      </c>
      <c r="M22" s="21">
        <f t="shared" si="3"/>
        <v>6.6617800000000003</v>
      </c>
      <c r="N22" s="21">
        <f t="shared" si="4"/>
        <v>1.9080000000000001</v>
      </c>
      <c r="O22" s="21">
        <f t="shared" si="5"/>
        <v>0.29044000000000003</v>
      </c>
      <c r="P22" s="21">
        <f t="shared" si="6"/>
        <v>0.33333333333333331</v>
      </c>
      <c r="Q22" s="21">
        <f t="shared" si="7"/>
        <v>2.8348</v>
      </c>
      <c r="R22" s="19">
        <f t="shared" si="8"/>
        <v>0.28348000000000001</v>
      </c>
      <c r="S22" s="64">
        <f t="shared" si="9"/>
        <v>10</v>
      </c>
      <c r="T22" s="21">
        <f t="shared" si="10"/>
        <v>15.650053333333332</v>
      </c>
      <c r="U22" s="21">
        <f t="shared" si="11"/>
        <v>22.311833333333333</v>
      </c>
    </row>
    <row r="23" spans="1:21" x14ac:dyDescent="0.3">
      <c r="A23" s="72">
        <f t="shared" si="12"/>
        <v>18</v>
      </c>
      <c r="B23" s="64">
        <v>2</v>
      </c>
      <c r="C23" s="79" t="s">
        <v>509</v>
      </c>
      <c r="D23" s="64">
        <v>60</v>
      </c>
      <c r="E23" s="74">
        <v>31709</v>
      </c>
      <c r="F23" s="80">
        <v>31709</v>
      </c>
      <c r="G23" s="74">
        <v>10</v>
      </c>
      <c r="H23" s="64">
        <v>10</v>
      </c>
      <c r="I23" s="64">
        <v>500</v>
      </c>
      <c r="J23" s="19">
        <f t="shared" si="0"/>
        <v>5.7076200000000004</v>
      </c>
      <c r="K23" s="19">
        <f t="shared" si="1"/>
        <v>1.046397</v>
      </c>
      <c r="L23" s="19">
        <f t="shared" si="2"/>
        <v>0.69759800000000005</v>
      </c>
      <c r="M23" s="21">
        <f t="shared" si="3"/>
        <v>7.4516150000000003</v>
      </c>
      <c r="N23" s="21">
        <f t="shared" si="4"/>
        <v>2.16</v>
      </c>
      <c r="O23" s="21">
        <f t="shared" si="5"/>
        <v>0.32880000000000004</v>
      </c>
      <c r="P23" s="21">
        <f t="shared" si="6"/>
        <v>0.33333333333333331</v>
      </c>
      <c r="Q23" s="21">
        <f t="shared" si="7"/>
        <v>3.1709000000000001</v>
      </c>
      <c r="R23" s="19">
        <f t="shared" si="8"/>
        <v>0.31708999999999998</v>
      </c>
      <c r="S23" s="64">
        <f t="shared" si="9"/>
        <v>10</v>
      </c>
      <c r="T23" s="21">
        <f t="shared" si="10"/>
        <v>16.310123333333333</v>
      </c>
      <c r="U23" s="21">
        <f t="shared" si="11"/>
        <v>23.761738333333334</v>
      </c>
    </row>
    <row r="24" spans="1:21" x14ac:dyDescent="0.3">
      <c r="A24" s="72">
        <f t="shared" si="12"/>
        <v>19</v>
      </c>
      <c r="B24" s="64">
        <v>2</v>
      </c>
      <c r="C24" s="79" t="s">
        <v>509</v>
      </c>
      <c r="D24" s="64">
        <v>70</v>
      </c>
      <c r="E24" s="74">
        <v>36531</v>
      </c>
      <c r="F24" s="80">
        <v>36531</v>
      </c>
      <c r="G24" s="74">
        <v>10</v>
      </c>
      <c r="H24" s="64">
        <v>10</v>
      </c>
      <c r="I24" s="64">
        <v>500</v>
      </c>
      <c r="J24" s="19">
        <f t="shared" si="0"/>
        <v>6.5755800000000004</v>
      </c>
      <c r="K24" s="19">
        <f t="shared" si="1"/>
        <v>1.2055230000000001</v>
      </c>
      <c r="L24" s="19">
        <f t="shared" si="2"/>
        <v>0.80368200000000023</v>
      </c>
      <c r="M24" s="21">
        <f t="shared" si="3"/>
        <v>8.5847850000000001</v>
      </c>
      <c r="N24" s="21">
        <f t="shared" si="4"/>
        <v>2.52</v>
      </c>
      <c r="O24" s="21">
        <f t="shared" si="5"/>
        <v>0.38360000000000005</v>
      </c>
      <c r="P24" s="21">
        <f t="shared" si="6"/>
        <v>0.33333333333333331</v>
      </c>
      <c r="Q24" s="21">
        <f t="shared" si="7"/>
        <v>3.6531000000000002</v>
      </c>
      <c r="R24" s="19">
        <f t="shared" si="8"/>
        <v>0.36531000000000008</v>
      </c>
      <c r="S24" s="64">
        <f t="shared" si="9"/>
        <v>10</v>
      </c>
      <c r="T24" s="21">
        <f t="shared" si="10"/>
        <v>17.255343333333332</v>
      </c>
      <c r="U24" s="21">
        <f t="shared" si="11"/>
        <v>25.840128333333332</v>
      </c>
    </row>
    <row r="25" spans="1:21" x14ac:dyDescent="0.3">
      <c r="A25" s="72">
        <f t="shared" si="12"/>
        <v>20</v>
      </c>
      <c r="B25" s="64">
        <v>2</v>
      </c>
      <c r="C25" s="79" t="s">
        <v>509</v>
      </c>
      <c r="D25" s="64">
        <v>80</v>
      </c>
      <c r="E25" s="74">
        <v>41280</v>
      </c>
      <c r="F25" s="80">
        <v>41280</v>
      </c>
      <c r="G25" s="74">
        <v>10</v>
      </c>
      <c r="H25" s="64">
        <v>10</v>
      </c>
      <c r="I25" s="64">
        <v>500</v>
      </c>
      <c r="J25" s="19">
        <f t="shared" si="0"/>
        <v>7.4303999999999997</v>
      </c>
      <c r="K25" s="19">
        <f t="shared" si="1"/>
        <v>1.3622400000000001</v>
      </c>
      <c r="L25" s="19">
        <f t="shared" si="2"/>
        <v>0.90816000000000019</v>
      </c>
      <c r="M25" s="21">
        <f t="shared" si="3"/>
        <v>9.700800000000001</v>
      </c>
      <c r="N25" s="21">
        <f t="shared" si="4"/>
        <v>2.88</v>
      </c>
      <c r="O25" s="21">
        <f t="shared" si="5"/>
        <v>0.43840000000000007</v>
      </c>
      <c r="P25" s="21">
        <f t="shared" si="6"/>
        <v>0.33333333333333331</v>
      </c>
      <c r="Q25" s="21">
        <f t="shared" si="7"/>
        <v>4.1280000000000001</v>
      </c>
      <c r="R25" s="19">
        <f t="shared" si="8"/>
        <v>0.4128</v>
      </c>
      <c r="S25" s="64">
        <f t="shared" si="9"/>
        <v>10</v>
      </c>
      <c r="T25" s="21">
        <f t="shared" si="10"/>
        <v>18.192533333333333</v>
      </c>
      <c r="U25" s="21">
        <f t="shared" si="11"/>
        <v>27.893333333333334</v>
      </c>
    </row>
    <row r="26" spans="1:21" x14ac:dyDescent="0.3">
      <c r="A26" s="72">
        <f t="shared" si="12"/>
        <v>21</v>
      </c>
      <c r="B26" s="64">
        <v>2</v>
      </c>
      <c r="C26" s="79" t="s">
        <v>509</v>
      </c>
      <c r="D26" s="64">
        <v>90</v>
      </c>
      <c r="E26" s="74">
        <v>46029</v>
      </c>
      <c r="F26" s="80">
        <v>46029</v>
      </c>
      <c r="G26" s="74">
        <v>10</v>
      </c>
      <c r="H26" s="64">
        <v>10</v>
      </c>
      <c r="I26" s="64">
        <v>500</v>
      </c>
      <c r="J26" s="19">
        <f t="shared" si="0"/>
        <v>8.2852199999999989</v>
      </c>
      <c r="K26" s="19">
        <f t="shared" si="1"/>
        <v>1.5189569999999999</v>
      </c>
      <c r="L26" s="19">
        <f t="shared" si="2"/>
        <v>1.0126380000000001</v>
      </c>
      <c r="M26" s="21">
        <f t="shared" si="3"/>
        <v>10.816815</v>
      </c>
      <c r="N26" s="21">
        <f t="shared" si="4"/>
        <v>3.2399999999999998</v>
      </c>
      <c r="O26" s="21">
        <f t="shared" si="5"/>
        <v>0.49320000000000003</v>
      </c>
      <c r="P26" s="21">
        <f t="shared" si="6"/>
        <v>0.33333333333333331</v>
      </c>
      <c r="Q26" s="21">
        <f t="shared" si="7"/>
        <v>4.6029</v>
      </c>
      <c r="R26" s="19">
        <f t="shared" si="8"/>
        <v>0.46028999999999998</v>
      </c>
      <c r="S26" s="64">
        <f t="shared" si="9"/>
        <v>10</v>
      </c>
      <c r="T26" s="21">
        <f t="shared" si="10"/>
        <v>19.129723333333335</v>
      </c>
      <c r="U26" s="21">
        <f t="shared" si="11"/>
        <v>29.946538333333336</v>
      </c>
    </row>
    <row r="27" spans="1:21" x14ac:dyDescent="0.3">
      <c r="A27" s="72">
        <f t="shared" si="12"/>
        <v>22</v>
      </c>
      <c r="B27" s="64">
        <v>2</v>
      </c>
      <c r="C27" s="79" t="s">
        <v>509</v>
      </c>
      <c r="D27" s="64">
        <v>105</v>
      </c>
      <c r="E27" s="74">
        <v>53335</v>
      </c>
      <c r="F27" s="80">
        <v>53335</v>
      </c>
      <c r="G27" s="74">
        <v>10</v>
      </c>
      <c r="H27" s="64">
        <v>10</v>
      </c>
      <c r="I27" s="64">
        <v>500</v>
      </c>
      <c r="J27" s="19">
        <f t="shared" si="0"/>
        <v>9.6003000000000007</v>
      </c>
      <c r="K27" s="19">
        <f t="shared" si="1"/>
        <v>1.7600550000000001</v>
      </c>
      <c r="L27" s="19">
        <f t="shared" si="2"/>
        <v>1.1733700000000002</v>
      </c>
      <c r="M27" s="21">
        <f t="shared" si="3"/>
        <v>12.533725</v>
      </c>
      <c r="N27" s="21">
        <f t="shared" si="4"/>
        <v>3.78</v>
      </c>
      <c r="O27" s="21">
        <f t="shared" si="5"/>
        <v>0.57540000000000002</v>
      </c>
      <c r="P27" s="21">
        <f t="shared" si="6"/>
        <v>0.33333333333333331</v>
      </c>
      <c r="Q27" s="21">
        <f t="shared" si="7"/>
        <v>5.3334999999999999</v>
      </c>
      <c r="R27" s="19">
        <f t="shared" si="8"/>
        <v>0.53334999999999999</v>
      </c>
      <c r="S27" s="64">
        <f t="shared" si="9"/>
        <v>10</v>
      </c>
      <c r="T27" s="21">
        <f t="shared" si="10"/>
        <v>20.555583333333331</v>
      </c>
      <c r="U27" s="21">
        <f t="shared" si="11"/>
        <v>33.089308333333335</v>
      </c>
    </row>
    <row r="28" spans="1:21" x14ac:dyDescent="0.3">
      <c r="A28" s="72">
        <f t="shared" si="12"/>
        <v>23</v>
      </c>
      <c r="B28" s="64">
        <v>2</v>
      </c>
      <c r="C28" s="79" t="s">
        <v>509</v>
      </c>
      <c r="D28" s="64">
        <v>120</v>
      </c>
      <c r="E28" s="74">
        <v>60641</v>
      </c>
      <c r="F28" s="80">
        <v>60641</v>
      </c>
      <c r="G28" s="74">
        <v>10</v>
      </c>
      <c r="H28" s="64">
        <v>10</v>
      </c>
      <c r="I28" s="64">
        <v>500</v>
      </c>
      <c r="J28" s="19">
        <f t="shared" si="0"/>
        <v>10.915380000000001</v>
      </c>
      <c r="K28" s="19">
        <f t="shared" si="1"/>
        <v>2.001153</v>
      </c>
      <c r="L28" s="19">
        <f t="shared" si="2"/>
        <v>1.3341020000000001</v>
      </c>
      <c r="M28" s="21">
        <f t="shared" si="3"/>
        <v>14.250635000000001</v>
      </c>
      <c r="N28" s="21">
        <f t="shared" si="4"/>
        <v>4.32</v>
      </c>
      <c r="O28" s="21">
        <f t="shared" si="5"/>
        <v>0.65760000000000007</v>
      </c>
      <c r="P28" s="21">
        <f t="shared" si="6"/>
        <v>0.33333333333333331</v>
      </c>
      <c r="Q28" s="21">
        <f t="shared" si="7"/>
        <v>6.0641000000000007</v>
      </c>
      <c r="R28" s="19">
        <f t="shared" si="8"/>
        <v>0.60641</v>
      </c>
      <c r="S28" s="64">
        <f t="shared" si="9"/>
        <v>10</v>
      </c>
      <c r="T28" s="21">
        <f t="shared" si="10"/>
        <v>21.981443333333335</v>
      </c>
      <c r="U28" s="21">
        <f t="shared" si="11"/>
        <v>36.232078333333334</v>
      </c>
    </row>
    <row r="29" spans="1:21" x14ac:dyDescent="0.3">
      <c r="A29" s="72">
        <f t="shared" si="12"/>
        <v>24</v>
      </c>
      <c r="B29" s="64">
        <v>2</v>
      </c>
      <c r="C29" s="79" t="s">
        <v>509</v>
      </c>
      <c r="D29" s="64">
        <v>140</v>
      </c>
      <c r="E29" s="74">
        <v>70139</v>
      </c>
      <c r="F29" s="80">
        <v>70139</v>
      </c>
      <c r="G29" s="74">
        <v>10</v>
      </c>
      <c r="H29" s="64">
        <v>10</v>
      </c>
      <c r="I29" s="64">
        <v>500</v>
      </c>
      <c r="J29" s="19">
        <f t="shared" si="0"/>
        <v>12.625019999999999</v>
      </c>
      <c r="K29" s="19">
        <f t="shared" si="1"/>
        <v>2.314587</v>
      </c>
      <c r="L29" s="19">
        <f t="shared" si="2"/>
        <v>1.543058</v>
      </c>
      <c r="M29" s="21">
        <f t="shared" si="3"/>
        <v>16.482664999999997</v>
      </c>
      <c r="N29" s="21">
        <f t="shared" si="4"/>
        <v>5.04</v>
      </c>
      <c r="O29" s="21">
        <f t="shared" si="5"/>
        <v>0.7672000000000001</v>
      </c>
      <c r="P29" s="21">
        <f t="shared" si="6"/>
        <v>0.33333333333333331</v>
      </c>
      <c r="Q29" s="21">
        <f t="shared" si="7"/>
        <v>7.0139000000000005</v>
      </c>
      <c r="R29" s="19">
        <f t="shared" si="8"/>
        <v>0.70139000000000007</v>
      </c>
      <c r="S29" s="64">
        <f t="shared" si="9"/>
        <v>10</v>
      </c>
      <c r="T29" s="21">
        <f t="shared" si="10"/>
        <v>23.855823333333333</v>
      </c>
      <c r="U29" s="21">
        <f t="shared" si="11"/>
        <v>40.338488333333331</v>
      </c>
    </row>
    <row r="30" spans="1:21" x14ac:dyDescent="0.3">
      <c r="A30" s="72">
        <f t="shared" si="12"/>
        <v>25</v>
      </c>
      <c r="B30" s="64">
        <v>2</v>
      </c>
      <c r="C30" s="79" t="s">
        <v>509</v>
      </c>
      <c r="D30" s="64">
        <v>160</v>
      </c>
      <c r="E30" s="74">
        <v>80002</v>
      </c>
      <c r="F30" s="80">
        <v>80002</v>
      </c>
      <c r="G30" s="74">
        <v>10</v>
      </c>
      <c r="H30" s="64">
        <v>10</v>
      </c>
      <c r="I30" s="64">
        <v>500</v>
      </c>
      <c r="J30" s="19">
        <f t="shared" si="0"/>
        <v>14.400360000000001</v>
      </c>
      <c r="K30" s="19">
        <f t="shared" si="1"/>
        <v>2.6400660000000005</v>
      </c>
      <c r="L30" s="19">
        <f t="shared" si="2"/>
        <v>1.7600440000000004</v>
      </c>
      <c r="M30" s="21">
        <f t="shared" si="3"/>
        <v>18.800470000000001</v>
      </c>
      <c r="N30" s="21">
        <f t="shared" si="4"/>
        <v>5.76</v>
      </c>
      <c r="O30" s="21">
        <f t="shared" si="5"/>
        <v>0.87680000000000013</v>
      </c>
      <c r="P30" s="21">
        <f t="shared" si="6"/>
        <v>0.33333333333333331</v>
      </c>
      <c r="Q30" s="21">
        <f t="shared" si="7"/>
        <v>8.0001999999999995</v>
      </c>
      <c r="R30" s="19">
        <f t="shared" si="8"/>
        <v>0.80001999999999995</v>
      </c>
      <c r="S30" s="64">
        <f t="shared" si="9"/>
        <v>10</v>
      </c>
      <c r="T30" s="21">
        <f t="shared" si="10"/>
        <v>25.770353333333333</v>
      </c>
      <c r="U30" s="21">
        <f t="shared" si="11"/>
        <v>44.570823333333337</v>
      </c>
    </row>
    <row r="31" spans="1:21" x14ac:dyDescent="0.3">
      <c r="A31" s="72">
        <f t="shared" si="12"/>
        <v>26</v>
      </c>
      <c r="B31" s="64">
        <v>2</v>
      </c>
      <c r="C31" s="79" t="s">
        <v>509</v>
      </c>
      <c r="D31" s="64">
        <v>180</v>
      </c>
      <c r="E31" s="74">
        <v>89500</v>
      </c>
      <c r="F31" s="80">
        <v>89500</v>
      </c>
      <c r="G31" s="74">
        <v>10</v>
      </c>
      <c r="H31" s="64">
        <v>10</v>
      </c>
      <c r="I31" s="64">
        <v>500</v>
      </c>
      <c r="J31" s="19">
        <f t="shared" si="0"/>
        <v>16.11</v>
      </c>
      <c r="K31" s="19">
        <f t="shared" si="1"/>
        <v>2.9535000000000005</v>
      </c>
      <c r="L31" s="19">
        <f t="shared" si="2"/>
        <v>1.9690000000000003</v>
      </c>
      <c r="M31" s="21">
        <f t="shared" si="3"/>
        <v>21.032500000000002</v>
      </c>
      <c r="N31" s="21">
        <f t="shared" si="4"/>
        <v>6.4799999999999995</v>
      </c>
      <c r="O31" s="21">
        <f t="shared" si="5"/>
        <v>0.98640000000000005</v>
      </c>
      <c r="P31" s="21">
        <f t="shared" si="6"/>
        <v>0.33333333333333331</v>
      </c>
      <c r="Q31" s="21">
        <f t="shared" si="7"/>
        <v>8.9500000000000011</v>
      </c>
      <c r="R31" s="19">
        <f t="shared" si="8"/>
        <v>0.89500000000000013</v>
      </c>
      <c r="S31" s="64">
        <f t="shared" si="9"/>
        <v>10</v>
      </c>
      <c r="T31" s="21">
        <f t="shared" si="10"/>
        <v>27.644733333333331</v>
      </c>
      <c r="U31" s="21">
        <f t="shared" si="11"/>
        <v>48.677233333333334</v>
      </c>
    </row>
    <row r="32" spans="1:21" x14ac:dyDescent="0.3">
      <c r="A32" s="72">
        <f t="shared" si="12"/>
        <v>27</v>
      </c>
      <c r="B32" s="64">
        <v>2</v>
      </c>
      <c r="C32" s="79" t="s">
        <v>509</v>
      </c>
      <c r="D32" s="64">
        <v>210</v>
      </c>
      <c r="E32" s="74">
        <v>106670</v>
      </c>
      <c r="F32" s="80">
        <v>106670</v>
      </c>
      <c r="G32" s="74">
        <v>10</v>
      </c>
      <c r="H32" s="64">
        <v>10</v>
      </c>
      <c r="I32" s="64">
        <v>500</v>
      </c>
      <c r="J32" s="19">
        <f t="shared" si="0"/>
        <v>19.200600000000001</v>
      </c>
      <c r="K32" s="19">
        <f t="shared" si="1"/>
        <v>3.5201100000000003</v>
      </c>
      <c r="L32" s="19">
        <f t="shared" si="2"/>
        <v>2.3467400000000005</v>
      </c>
      <c r="M32" s="21">
        <f t="shared" si="3"/>
        <v>25.067450000000001</v>
      </c>
      <c r="N32" s="21">
        <f t="shared" si="4"/>
        <v>7.56</v>
      </c>
      <c r="O32" s="21">
        <f t="shared" si="5"/>
        <v>1.1508</v>
      </c>
      <c r="P32" s="21">
        <f t="shared" si="6"/>
        <v>0.33333333333333331</v>
      </c>
      <c r="Q32" s="21">
        <f t="shared" si="7"/>
        <v>10.667</v>
      </c>
      <c r="R32" s="19">
        <f t="shared" si="8"/>
        <v>1.0667</v>
      </c>
      <c r="S32" s="64">
        <f t="shared" si="9"/>
        <v>10</v>
      </c>
      <c r="T32" s="21">
        <f t="shared" si="10"/>
        <v>30.777833333333334</v>
      </c>
      <c r="U32" s="21">
        <f t="shared" si="11"/>
        <v>55.845283333333334</v>
      </c>
    </row>
    <row r="33" spans="1:21" x14ac:dyDescent="0.3">
      <c r="A33" s="72">
        <f t="shared" si="12"/>
        <v>28</v>
      </c>
      <c r="B33" s="64">
        <v>2</v>
      </c>
      <c r="C33" s="79" t="s">
        <v>509</v>
      </c>
      <c r="D33" s="64">
        <v>240</v>
      </c>
      <c r="E33" s="74">
        <v>121282</v>
      </c>
      <c r="F33" s="80">
        <v>121282</v>
      </c>
      <c r="G33" s="74">
        <v>10</v>
      </c>
      <c r="H33" s="64">
        <v>10</v>
      </c>
      <c r="I33" s="64">
        <v>500</v>
      </c>
      <c r="J33" s="19">
        <f t="shared" si="0"/>
        <v>21.830760000000001</v>
      </c>
      <c r="K33" s="19">
        <f t="shared" si="1"/>
        <v>4.0023059999999999</v>
      </c>
      <c r="L33" s="19">
        <f t="shared" si="2"/>
        <v>2.6682040000000002</v>
      </c>
      <c r="M33" s="21">
        <f t="shared" si="3"/>
        <v>28.501270000000002</v>
      </c>
      <c r="N33" s="21">
        <f t="shared" si="4"/>
        <v>8.64</v>
      </c>
      <c r="O33" s="21">
        <f t="shared" si="5"/>
        <v>1.3152000000000001</v>
      </c>
      <c r="P33" s="21">
        <f t="shared" si="6"/>
        <v>0.33333333333333331</v>
      </c>
      <c r="Q33" s="21">
        <f t="shared" si="7"/>
        <v>12.128200000000001</v>
      </c>
      <c r="R33" s="19">
        <f t="shared" si="8"/>
        <v>1.21282</v>
      </c>
      <c r="S33" s="64">
        <f t="shared" si="9"/>
        <v>10</v>
      </c>
      <c r="T33" s="21">
        <f t="shared" si="10"/>
        <v>33.629553333333334</v>
      </c>
      <c r="U33" s="21">
        <f t="shared" si="11"/>
        <v>62.130823333333339</v>
      </c>
    </row>
    <row r="34" spans="1:21" x14ac:dyDescent="0.3">
      <c r="A34" s="72">
        <f t="shared" si="12"/>
        <v>29</v>
      </c>
      <c r="B34" s="64">
        <v>2</v>
      </c>
      <c r="C34" s="79" t="s">
        <v>509</v>
      </c>
      <c r="D34" s="64">
        <v>280</v>
      </c>
      <c r="E34" s="74">
        <v>140278</v>
      </c>
      <c r="F34" s="80">
        <v>140278</v>
      </c>
      <c r="G34" s="74">
        <v>10</v>
      </c>
      <c r="H34" s="64">
        <v>10</v>
      </c>
      <c r="I34" s="64">
        <v>500</v>
      </c>
      <c r="J34" s="19">
        <f t="shared" si="0"/>
        <v>25.250039999999998</v>
      </c>
      <c r="K34" s="19">
        <f t="shared" si="1"/>
        <v>4.6291739999999999</v>
      </c>
      <c r="L34" s="19">
        <f t="shared" si="2"/>
        <v>3.0861160000000001</v>
      </c>
      <c r="M34" s="21">
        <f t="shared" si="3"/>
        <v>32.965329999999994</v>
      </c>
      <c r="N34" s="21">
        <f t="shared" si="4"/>
        <v>10.08</v>
      </c>
      <c r="O34" s="21">
        <f t="shared" si="5"/>
        <v>1.5344000000000002</v>
      </c>
      <c r="P34" s="21">
        <f t="shared" si="6"/>
        <v>0.33333333333333331</v>
      </c>
      <c r="Q34" s="21">
        <f t="shared" si="7"/>
        <v>14.027800000000001</v>
      </c>
      <c r="R34" s="19">
        <f t="shared" si="8"/>
        <v>1.4027800000000001</v>
      </c>
      <c r="S34" s="64">
        <f t="shared" si="9"/>
        <v>10</v>
      </c>
      <c r="T34" s="21">
        <f t="shared" si="10"/>
        <v>37.378313333333338</v>
      </c>
      <c r="U34" s="21">
        <f t="shared" si="11"/>
        <v>70.343643333333333</v>
      </c>
    </row>
    <row r="35" spans="1:21" x14ac:dyDescent="0.3">
      <c r="A35" s="72">
        <f t="shared" si="12"/>
        <v>30</v>
      </c>
      <c r="B35" s="64">
        <v>2</v>
      </c>
      <c r="C35" s="79" t="s">
        <v>509</v>
      </c>
      <c r="D35" s="64">
        <v>320</v>
      </c>
      <c r="E35" s="74">
        <v>159274</v>
      </c>
      <c r="F35" s="80">
        <v>159274</v>
      </c>
      <c r="G35" s="74">
        <v>10</v>
      </c>
      <c r="H35" s="64">
        <v>10</v>
      </c>
      <c r="I35" s="64">
        <v>500</v>
      </c>
      <c r="J35" s="19">
        <f t="shared" si="0"/>
        <v>28.669320000000003</v>
      </c>
      <c r="K35" s="19">
        <f t="shared" si="1"/>
        <v>5.2560420000000008</v>
      </c>
      <c r="L35" s="19">
        <f t="shared" si="2"/>
        <v>3.5040280000000008</v>
      </c>
      <c r="M35" s="21">
        <f t="shared" si="3"/>
        <v>37.429390000000005</v>
      </c>
      <c r="N35" s="21">
        <f t="shared" si="4"/>
        <v>11.52</v>
      </c>
      <c r="O35" s="21">
        <f t="shared" si="5"/>
        <v>1.7536000000000003</v>
      </c>
      <c r="P35" s="21">
        <f t="shared" si="6"/>
        <v>0.33333333333333331</v>
      </c>
      <c r="Q35" s="21">
        <f t="shared" si="7"/>
        <v>15.9274</v>
      </c>
      <c r="R35" s="19">
        <f t="shared" si="8"/>
        <v>1.59274</v>
      </c>
      <c r="S35" s="64">
        <f t="shared" si="9"/>
        <v>10</v>
      </c>
      <c r="T35" s="21">
        <f t="shared" si="10"/>
        <v>41.127073333333335</v>
      </c>
      <c r="U35" s="21">
        <f t="shared" si="11"/>
        <v>78.55646333333334</v>
      </c>
    </row>
    <row r="36" spans="1:21" x14ac:dyDescent="0.3">
      <c r="A36" s="72">
        <f t="shared" si="12"/>
        <v>31</v>
      </c>
      <c r="B36" s="64">
        <v>3</v>
      </c>
      <c r="C36" s="73" t="s">
        <v>510</v>
      </c>
      <c r="D36" s="64">
        <v>45</v>
      </c>
      <c r="E36" s="74">
        <v>28147</v>
      </c>
      <c r="F36" s="80">
        <v>28147</v>
      </c>
      <c r="G36" s="74">
        <v>10</v>
      </c>
      <c r="H36" s="64">
        <v>10</v>
      </c>
      <c r="I36" s="64">
        <v>500</v>
      </c>
      <c r="J36" s="19">
        <f t="shared" si="0"/>
        <v>5.0664600000000002</v>
      </c>
      <c r="K36" s="19">
        <f t="shared" si="1"/>
        <v>0.92885099999999998</v>
      </c>
      <c r="L36" s="19">
        <f t="shared" si="2"/>
        <v>0.61923400000000006</v>
      </c>
      <c r="M36" s="21">
        <f t="shared" si="3"/>
        <v>6.6145449999999997</v>
      </c>
      <c r="N36" s="21">
        <f t="shared" si="4"/>
        <v>1.6199999999999999</v>
      </c>
      <c r="O36" s="21">
        <f t="shared" si="5"/>
        <v>0.24660000000000001</v>
      </c>
      <c r="P36" s="21">
        <f t="shared" si="6"/>
        <v>0.33333333333333331</v>
      </c>
      <c r="Q36" s="21">
        <f t="shared" si="7"/>
        <v>2.8147000000000002</v>
      </c>
      <c r="R36" s="19">
        <f t="shared" si="8"/>
        <v>0.28147</v>
      </c>
      <c r="S36" s="64">
        <f t="shared" si="9"/>
        <v>10</v>
      </c>
      <c r="T36" s="21">
        <f t="shared" si="10"/>
        <v>15.296103333333333</v>
      </c>
      <c r="U36" s="21">
        <f t="shared" si="11"/>
        <v>21.910648333333334</v>
      </c>
    </row>
    <row r="37" spans="1:21" x14ac:dyDescent="0.3">
      <c r="A37" s="72">
        <f t="shared" si="12"/>
        <v>32</v>
      </c>
      <c r="B37" s="64">
        <v>3</v>
      </c>
      <c r="C37" s="73" t="s">
        <v>510</v>
      </c>
      <c r="D37" s="64">
        <v>53</v>
      </c>
      <c r="E37" s="74">
        <v>32600</v>
      </c>
      <c r="F37" s="80">
        <v>32600</v>
      </c>
      <c r="G37" s="74">
        <v>10</v>
      </c>
      <c r="H37" s="64">
        <v>10</v>
      </c>
      <c r="I37" s="64">
        <v>500</v>
      </c>
      <c r="J37" s="19">
        <f t="shared" si="0"/>
        <v>5.8680000000000003</v>
      </c>
      <c r="K37" s="19">
        <f t="shared" si="1"/>
        <v>1.0757999999999999</v>
      </c>
      <c r="L37" s="19">
        <f t="shared" si="2"/>
        <v>0.71719999999999995</v>
      </c>
      <c r="M37" s="21">
        <f t="shared" si="3"/>
        <v>7.6610000000000005</v>
      </c>
      <c r="N37" s="21">
        <f t="shared" si="4"/>
        <v>1.9080000000000001</v>
      </c>
      <c r="O37" s="21">
        <f t="shared" si="5"/>
        <v>0.29044000000000003</v>
      </c>
      <c r="P37" s="21">
        <f t="shared" si="6"/>
        <v>0.33333333333333331</v>
      </c>
      <c r="Q37" s="21">
        <f t="shared" si="7"/>
        <v>3.2600000000000002</v>
      </c>
      <c r="R37" s="19">
        <f t="shared" si="8"/>
        <v>0.32600000000000001</v>
      </c>
      <c r="S37" s="64">
        <f t="shared" si="9"/>
        <v>10</v>
      </c>
      <c r="T37" s="21">
        <f t="shared" si="10"/>
        <v>16.117773333333332</v>
      </c>
      <c r="U37" s="21">
        <f t="shared" si="11"/>
        <v>23.778773333333334</v>
      </c>
    </row>
    <row r="38" spans="1:21" x14ac:dyDescent="0.3">
      <c r="A38" s="72">
        <f t="shared" si="12"/>
        <v>33</v>
      </c>
      <c r="B38" s="64">
        <v>3</v>
      </c>
      <c r="C38" s="73" t="s">
        <v>510</v>
      </c>
      <c r="D38" s="64">
        <v>60</v>
      </c>
      <c r="E38" s="74">
        <v>36465</v>
      </c>
      <c r="F38" s="80">
        <v>36465</v>
      </c>
      <c r="G38" s="74">
        <v>10</v>
      </c>
      <c r="H38" s="64">
        <v>10</v>
      </c>
      <c r="I38" s="64">
        <v>500</v>
      </c>
      <c r="J38" s="19">
        <f t="shared" si="0"/>
        <v>6.5636999999999999</v>
      </c>
      <c r="K38" s="19">
        <f t="shared" si="1"/>
        <v>1.2033449999999999</v>
      </c>
      <c r="L38" s="19">
        <f t="shared" si="2"/>
        <v>0.80223</v>
      </c>
      <c r="M38" s="21">
        <f t="shared" si="3"/>
        <v>8.5692749999999993</v>
      </c>
      <c r="N38" s="21">
        <f t="shared" si="4"/>
        <v>2.16</v>
      </c>
      <c r="O38" s="21">
        <f t="shared" si="5"/>
        <v>0.32880000000000004</v>
      </c>
      <c r="P38" s="21">
        <f t="shared" si="6"/>
        <v>0.33333333333333331</v>
      </c>
      <c r="Q38" s="21">
        <f t="shared" si="7"/>
        <v>3.6465000000000001</v>
      </c>
      <c r="R38" s="19">
        <f t="shared" si="8"/>
        <v>0.36465000000000003</v>
      </c>
      <c r="S38" s="64">
        <f t="shared" si="9"/>
        <v>10</v>
      </c>
      <c r="T38" s="21">
        <f t="shared" si="10"/>
        <v>16.833283333333334</v>
      </c>
      <c r="U38" s="21">
        <f t="shared" si="11"/>
        <v>25.402558333333332</v>
      </c>
    </row>
    <row r="39" spans="1:21" x14ac:dyDescent="0.3">
      <c r="A39" s="72">
        <f t="shared" si="12"/>
        <v>34</v>
      </c>
      <c r="B39" s="64">
        <v>3</v>
      </c>
      <c r="C39" s="73" t="s">
        <v>510</v>
      </c>
      <c r="D39" s="64">
        <v>70</v>
      </c>
      <c r="E39" s="74">
        <v>42010</v>
      </c>
      <c r="F39" s="80">
        <v>42010</v>
      </c>
      <c r="G39" s="74">
        <v>10</v>
      </c>
      <c r="H39" s="64">
        <v>10</v>
      </c>
      <c r="I39" s="64">
        <v>500</v>
      </c>
      <c r="J39" s="19">
        <f t="shared" si="0"/>
        <v>7.5617999999999999</v>
      </c>
      <c r="K39" s="19">
        <f t="shared" si="1"/>
        <v>1.3863300000000001</v>
      </c>
      <c r="L39" s="19">
        <f t="shared" si="2"/>
        <v>0.92422000000000015</v>
      </c>
      <c r="M39" s="21">
        <f t="shared" si="3"/>
        <v>9.8723499999999991</v>
      </c>
      <c r="N39" s="21">
        <f t="shared" si="4"/>
        <v>2.52</v>
      </c>
      <c r="O39" s="21">
        <f t="shared" si="5"/>
        <v>0.38360000000000005</v>
      </c>
      <c r="P39" s="21">
        <f t="shared" si="6"/>
        <v>0.33333333333333331</v>
      </c>
      <c r="Q39" s="21">
        <f t="shared" si="7"/>
        <v>4.2010000000000005</v>
      </c>
      <c r="R39" s="19">
        <f t="shared" si="8"/>
        <v>0.42010000000000003</v>
      </c>
      <c r="S39" s="64">
        <f t="shared" si="9"/>
        <v>10</v>
      </c>
      <c r="T39" s="21">
        <f t="shared" si="10"/>
        <v>17.858033333333331</v>
      </c>
      <c r="U39" s="21">
        <f t="shared" si="11"/>
        <v>27.730383333333329</v>
      </c>
    </row>
    <row r="40" spans="1:21" x14ac:dyDescent="0.3">
      <c r="A40" s="72">
        <f t="shared" si="12"/>
        <v>35</v>
      </c>
      <c r="B40" s="64">
        <v>3</v>
      </c>
      <c r="C40" s="73" t="s">
        <v>510</v>
      </c>
      <c r="D40" s="64">
        <v>80</v>
      </c>
      <c r="E40" s="74">
        <v>47472</v>
      </c>
      <c r="F40" s="80">
        <v>47472</v>
      </c>
      <c r="G40" s="74">
        <v>10</v>
      </c>
      <c r="H40" s="64">
        <v>10</v>
      </c>
      <c r="I40" s="64">
        <v>500</v>
      </c>
      <c r="J40" s="19">
        <f t="shared" si="0"/>
        <v>8.5449600000000014</v>
      </c>
      <c r="K40" s="19">
        <f t="shared" si="1"/>
        <v>1.5665760000000002</v>
      </c>
      <c r="L40" s="19">
        <f t="shared" si="2"/>
        <v>1.0443840000000002</v>
      </c>
      <c r="M40" s="21">
        <f t="shared" si="3"/>
        <v>11.155920000000002</v>
      </c>
      <c r="N40" s="21">
        <f t="shared" si="4"/>
        <v>2.88</v>
      </c>
      <c r="O40" s="21">
        <f t="shared" si="5"/>
        <v>0.43840000000000007</v>
      </c>
      <c r="P40" s="21">
        <f t="shared" si="6"/>
        <v>0.33333333333333331</v>
      </c>
      <c r="Q40" s="21">
        <f t="shared" si="7"/>
        <v>4.7472000000000003</v>
      </c>
      <c r="R40" s="19">
        <f t="shared" si="8"/>
        <v>0.47472000000000003</v>
      </c>
      <c r="S40" s="64">
        <f t="shared" si="9"/>
        <v>10</v>
      </c>
      <c r="T40" s="21">
        <f t="shared" si="10"/>
        <v>18.873653333333333</v>
      </c>
      <c r="U40" s="21">
        <f t="shared" si="11"/>
        <v>30.029573333333335</v>
      </c>
    </row>
    <row r="41" spans="1:21" x14ac:dyDescent="0.3">
      <c r="A41" s="72">
        <f t="shared" si="12"/>
        <v>36</v>
      </c>
      <c r="B41" s="64">
        <v>3</v>
      </c>
      <c r="C41" s="73" t="s">
        <v>510</v>
      </c>
      <c r="D41" s="64">
        <v>90</v>
      </c>
      <c r="E41" s="74">
        <v>52933</v>
      </c>
      <c r="F41" s="80">
        <v>52933</v>
      </c>
      <c r="G41" s="74">
        <v>10</v>
      </c>
      <c r="H41" s="64">
        <v>10</v>
      </c>
      <c r="I41" s="64">
        <v>500</v>
      </c>
      <c r="J41" s="19">
        <f t="shared" si="0"/>
        <v>9.527940000000001</v>
      </c>
      <c r="K41" s="19">
        <f t="shared" si="1"/>
        <v>1.7467889999999999</v>
      </c>
      <c r="L41" s="19">
        <f t="shared" si="2"/>
        <v>1.1645260000000002</v>
      </c>
      <c r="M41" s="21">
        <f t="shared" si="3"/>
        <v>12.439255000000001</v>
      </c>
      <c r="N41" s="21">
        <f t="shared" si="4"/>
        <v>3.2399999999999998</v>
      </c>
      <c r="O41" s="21">
        <f t="shared" si="5"/>
        <v>0.49320000000000003</v>
      </c>
      <c r="P41" s="21">
        <f t="shared" si="6"/>
        <v>0.33333333333333331</v>
      </c>
      <c r="Q41" s="21">
        <f t="shared" si="7"/>
        <v>5.2933000000000003</v>
      </c>
      <c r="R41" s="19">
        <f t="shared" si="8"/>
        <v>0.52933000000000008</v>
      </c>
      <c r="S41" s="64">
        <f t="shared" si="9"/>
        <v>10</v>
      </c>
      <c r="T41" s="21">
        <f t="shared" si="10"/>
        <v>19.889163333333336</v>
      </c>
      <c r="U41" s="21">
        <f t="shared" si="11"/>
        <v>32.328418333333339</v>
      </c>
    </row>
    <row r="42" spans="1:21" x14ac:dyDescent="0.3">
      <c r="A42" s="72">
        <f t="shared" si="12"/>
        <v>37</v>
      </c>
      <c r="B42" s="64">
        <v>3</v>
      </c>
      <c r="C42" s="73" t="s">
        <v>510</v>
      </c>
      <c r="D42" s="64">
        <v>105</v>
      </c>
      <c r="E42" s="74">
        <v>61335</v>
      </c>
      <c r="F42" s="80">
        <v>61335</v>
      </c>
      <c r="G42" s="74">
        <v>10</v>
      </c>
      <c r="H42" s="64">
        <v>10</v>
      </c>
      <c r="I42" s="64">
        <v>500</v>
      </c>
      <c r="J42" s="19">
        <f t="shared" si="0"/>
        <v>11.0403</v>
      </c>
      <c r="K42" s="19">
        <f t="shared" si="1"/>
        <v>2.0240550000000002</v>
      </c>
      <c r="L42" s="19">
        <f t="shared" si="2"/>
        <v>1.3493700000000002</v>
      </c>
      <c r="M42" s="21">
        <f t="shared" si="3"/>
        <v>14.413725000000001</v>
      </c>
      <c r="N42" s="21">
        <f t="shared" si="4"/>
        <v>3.78</v>
      </c>
      <c r="O42" s="21">
        <f t="shared" si="5"/>
        <v>0.57540000000000002</v>
      </c>
      <c r="P42" s="21">
        <f t="shared" si="6"/>
        <v>0.33333333333333331</v>
      </c>
      <c r="Q42" s="21">
        <f t="shared" si="7"/>
        <v>6.1335000000000006</v>
      </c>
      <c r="R42" s="19">
        <f t="shared" si="8"/>
        <v>0.61335000000000006</v>
      </c>
      <c r="S42" s="64">
        <f t="shared" si="9"/>
        <v>10</v>
      </c>
      <c r="T42" s="21">
        <f t="shared" si="10"/>
        <v>21.435583333333334</v>
      </c>
      <c r="U42" s="21">
        <f t="shared" si="11"/>
        <v>35.849308333333333</v>
      </c>
    </row>
    <row r="43" spans="1:21" x14ac:dyDescent="0.3">
      <c r="A43" s="72">
        <f t="shared" si="12"/>
        <v>38</v>
      </c>
      <c r="B43" s="64">
        <v>3</v>
      </c>
      <c r="C43" s="73" t="s">
        <v>510</v>
      </c>
      <c r="D43" s="64">
        <v>120</v>
      </c>
      <c r="E43" s="74">
        <v>69737</v>
      </c>
      <c r="F43" s="80">
        <v>69737</v>
      </c>
      <c r="G43" s="74">
        <v>10</v>
      </c>
      <c r="H43" s="64">
        <v>10</v>
      </c>
      <c r="I43" s="64">
        <v>500</v>
      </c>
      <c r="J43" s="19">
        <f t="shared" si="0"/>
        <v>12.552660000000001</v>
      </c>
      <c r="K43" s="19">
        <f t="shared" si="1"/>
        <v>2.3013210000000006</v>
      </c>
      <c r="L43" s="19">
        <f t="shared" si="2"/>
        <v>1.5342140000000004</v>
      </c>
      <c r="M43" s="21">
        <f t="shared" si="3"/>
        <v>16.388195000000003</v>
      </c>
      <c r="N43" s="21">
        <f t="shared" si="4"/>
        <v>4.32</v>
      </c>
      <c r="O43" s="21">
        <f t="shared" si="5"/>
        <v>0.65760000000000007</v>
      </c>
      <c r="P43" s="21">
        <f t="shared" si="6"/>
        <v>0.33333333333333331</v>
      </c>
      <c r="Q43" s="21">
        <f t="shared" si="7"/>
        <v>6.9737</v>
      </c>
      <c r="R43" s="19">
        <f t="shared" si="8"/>
        <v>0.69736999999999993</v>
      </c>
      <c r="S43" s="64">
        <f t="shared" si="9"/>
        <v>10</v>
      </c>
      <c r="T43" s="21">
        <f t="shared" si="10"/>
        <v>22.982003333333331</v>
      </c>
      <c r="U43" s="21">
        <f t="shared" si="11"/>
        <v>39.370198333333335</v>
      </c>
    </row>
    <row r="44" spans="1:21" x14ac:dyDescent="0.3">
      <c r="A44" s="72">
        <f t="shared" si="12"/>
        <v>39</v>
      </c>
      <c r="B44" s="64">
        <v>3</v>
      </c>
      <c r="C44" s="73" t="s">
        <v>510</v>
      </c>
      <c r="D44" s="64">
        <v>140</v>
      </c>
      <c r="E44" s="74">
        <v>80660</v>
      </c>
      <c r="F44" s="80">
        <v>80660</v>
      </c>
      <c r="G44" s="74">
        <v>10</v>
      </c>
      <c r="H44" s="64">
        <v>10</v>
      </c>
      <c r="I44" s="64">
        <v>500</v>
      </c>
      <c r="J44" s="19">
        <f t="shared" si="0"/>
        <v>14.518800000000001</v>
      </c>
      <c r="K44" s="19">
        <f t="shared" si="1"/>
        <v>2.6617799999999998</v>
      </c>
      <c r="L44" s="19">
        <f t="shared" si="2"/>
        <v>1.7745200000000001</v>
      </c>
      <c r="M44" s="21">
        <f t="shared" si="3"/>
        <v>18.955099999999998</v>
      </c>
      <c r="N44" s="21">
        <f t="shared" si="4"/>
        <v>5.04</v>
      </c>
      <c r="O44" s="21">
        <f t="shared" si="5"/>
        <v>0.7672000000000001</v>
      </c>
      <c r="P44" s="21">
        <f t="shared" si="6"/>
        <v>0.33333333333333331</v>
      </c>
      <c r="Q44" s="21">
        <f t="shared" si="7"/>
        <v>8.0660000000000007</v>
      </c>
      <c r="R44" s="19">
        <f t="shared" si="8"/>
        <v>0.80660000000000009</v>
      </c>
      <c r="S44" s="64">
        <f t="shared" si="9"/>
        <v>10</v>
      </c>
      <c r="T44" s="21">
        <f t="shared" si="10"/>
        <v>25.013133333333332</v>
      </c>
      <c r="U44" s="21">
        <f t="shared" si="11"/>
        <v>43.96823333333333</v>
      </c>
    </row>
    <row r="45" spans="1:21" x14ac:dyDescent="0.3">
      <c r="A45" s="72">
        <f t="shared" si="12"/>
        <v>40</v>
      </c>
      <c r="B45" s="64">
        <v>3</v>
      </c>
      <c r="C45" s="73" t="s">
        <v>510</v>
      </c>
      <c r="D45" s="64">
        <v>160</v>
      </c>
      <c r="E45" s="74">
        <v>92003</v>
      </c>
      <c r="F45" s="80">
        <v>92003</v>
      </c>
      <c r="G45" s="74">
        <v>10</v>
      </c>
      <c r="H45" s="64">
        <v>10</v>
      </c>
      <c r="I45" s="64">
        <v>400</v>
      </c>
      <c r="J45" s="19">
        <f t="shared" si="0"/>
        <v>20.700675</v>
      </c>
      <c r="K45" s="19">
        <f t="shared" si="1"/>
        <v>3.7951237500000001</v>
      </c>
      <c r="L45" s="19">
        <f t="shared" si="2"/>
        <v>2.5300825000000002</v>
      </c>
      <c r="M45" s="21">
        <f t="shared" si="3"/>
        <v>27.025881249999998</v>
      </c>
      <c r="N45" s="21">
        <f t="shared" si="4"/>
        <v>5.76</v>
      </c>
      <c r="O45" s="21">
        <f t="shared" si="5"/>
        <v>0.87680000000000013</v>
      </c>
      <c r="P45" s="21">
        <f t="shared" si="6"/>
        <v>0.33333333333333331</v>
      </c>
      <c r="Q45" s="21">
        <f t="shared" si="7"/>
        <v>9.2003000000000004</v>
      </c>
      <c r="R45" s="19">
        <f t="shared" si="8"/>
        <v>0.92003000000000001</v>
      </c>
      <c r="S45" s="64">
        <f t="shared" si="9"/>
        <v>10</v>
      </c>
      <c r="T45" s="21">
        <f t="shared" si="10"/>
        <v>27.090463333333336</v>
      </c>
      <c r="U45" s="21">
        <f t="shared" si="11"/>
        <v>54.11634458333333</v>
      </c>
    </row>
  </sheetData>
  <mergeCells count="3">
    <mergeCell ref="A1:A5"/>
    <mergeCell ref="B1:B5"/>
    <mergeCell ref="C1:G2"/>
  </mergeCells>
  <hyperlinks>
    <hyperlink ref="H1" location="Indice!A1" display="Índice"/>
  </hyperlinks>
  <printOptions horizontalCentered="1" gridLines="1"/>
  <pageMargins left="7.874015748031496E-2" right="7.874015748031496E-2" top="7.874015748031496E-2" bottom="7.874015748031496E-2" header="0.31496062992125984" footer="0.31496062992125984"/>
  <pageSetup paperSize="9" orientation="landscape" r:id="rId1"/>
  <rowBreaks count="1" manualBreakCount="1">
    <brk id="3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6"/>
  <sheetViews>
    <sheetView workbookViewId="0">
      <pane ySplit="3" topLeftCell="A4" activePane="bottomLeft" state="frozen"/>
      <selection pane="bottomLeft" activeCell="D1" sqref="D1"/>
    </sheetView>
  </sheetViews>
  <sheetFormatPr defaultRowHeight="13.8" x14ac:dyDescent="0.3"/>
  <cols>
    <col min="1" max="1" width="5.109375" customWidth="1"/>
    <col min="2" max="2" width="4.33203125" customWidth="1"/>
    <col min="3" max="3" width="41" customWidth="1"/>
    <col min="4" max="4" width="13.6640625" customWidth="1"/>
    <col min="5" max="5" width="8.44140625" customWidth="1"/>
    <col min="6" max="6" width="8" customWidth="1"/>
    <col min="7" max="7" width="7.33203125" customWidth="1"/>
    <col min="8" max="8" width="6.88671875" customWidth="1"/>
    <col min="9" max="10" width="9.33203125" customWidth="1"/>
    <col min="11" max="14" width="10.6640625" customWidth="1"/>
  </cols>
  <sheetData>
    <row r="1" spans="1:14" x14ac:dyDescent="0.3">
      <c r="A1" s="479" t="s">
        <v>235</v>
      </c>
      <c r="B1" s="479" t="s">
        <v>236</v>
      </c>
      <c r="C1" s="481" t="s">
        <v>237</v>
      </c>
      <c r="D1" s="399" t="s">
        <v>917</v>
      </c>
      <c r="E1" s="64"/>
      <c r="F1" s="64"/>
      <c r="G1" s="64"/>
      <c r="H1" s="64"/>
      <c r="I1" s="52" t="s">
        <v>622</v>
      </c>
      <c r="J1" s="66">
        <v>5</v>
      </c>
      <c r="K1" s="52" t="s">
        <v>621</v>
      </c>
      <c r="L1" s="66">
        <f>+[1]IHERA_Trat!J2</f>
        <v>3</v>
      </c>
      <c r="M1" s="52"/>
      <c r="N1" s="67"/>
    </row>
    <row r="2" spans="1:14" x14ac:dyDescent="0.3">
      <c r="A2" s="480"/>
      <c r="B2" s="434"/>
      <c r="C2" s="482"/>
      <c r="D2" s="15" t="s">
        <v>238</v>
      </c>
      <c r="E2" s="68" t="s">
        <v>239</v>
      </c>
      <c r="F2" s="17" t="s">
        <v>620</v>
      </c>
      <c r="G2" s="68" t="s">
        <v>618</v>
      </c>
      <c r="H2" s="15" t="s">
        <v>619</v>
      </c>
      <c r="I2" s="15" t="s">
        <v>66</v>
      </c>
      <c r="J2" s="69" t="s">
        <v>240</v>
      </c>
      <c r="K2" s="70" t="s">
        <v>241</v>
      </c>
      <c r="L2" s="70" t="s">
        <v>81</v>
      </c>
      <c r="M2" s="70" t="s">
        <v>242</v>
      </c>
      <c r="N2" s="70" t="s">
        <v>243</v>
      </c>
    </row>
    <row r="3" spans="1:14" x14ac:dyDescent="0.3">
      <c r="A3" s="480"/>
      <c r="B3" s="434"/>
      <c r="C3" s="482"/>
      <c r="D3" s="15"/>
      <c r="E3" s="71" t="s">
        <v>84</v>
      </c>
      <c r="F3" s="70" t="s">
        <v>84</v>
      </c>
      <c r="G3" s="68" t="s">
        <v>86</v>
      </c>
      <c r="H3" s="15" t="s">
        <v>86</v>
      </c>
      <c r="I3" s="15" t="s">
        <v>244</v>
      </c>
      <c r="J3" s="69" t="s">
        <v>71</v>
      </c>
      <c r="K3" s="70" t="s">
        <v>87</v>
      </c>
      <c r="L3" s="70" t="s">
        <v>87</v>
      </c>
      <c r="M3" s="70" t="s">
        <v>87</v>
      </c>
      <c r="N3" s="70" t="s">
        <v>87</v>
      </c>
    </row>
    <row r="4" spans="1:14" x14ac:dyDescent="0.3">
      <c r="A4" s="72">
        <v>1</v>
      </c>
      <c r="B4" s="64">
        <v>4</v>
      </c>
      <c r="C4" s="73" t="s">
        <v>245</v>
      </c>
      <c r="D4" s="64" t="s">
        <v>246</v>
      </c>
      <c r="E4" s="74">
        <v>9040</v>
      </c>
      <c r="F4" s="64">
        <v>9040</v>
      </c>
      <c r="G4" s="74">
        <v>10</v>
      </c>
      <c r="H4" s="64">
        <v>10</v>
      </c>
      <c r="I4" s="64">
        <v>100</v>
      </c>
      <c r="J4" s="65">
        <v>0.03</v>
      </c>
      <c r="K4" s="21">
        <f>+F4/(H4*I4)</f>
        <v>9.0399999999999991</v>
      </c>
      <c r="L4" s="21">
        <f t="shared" ref="L4:L67" si="0">+(F4/I4)*($L$1/100)</f>
        <v>2.7120000000000002</v>
      </c>
      <c r="M4" s="21">
        <f t="shared" ref="M4:M67" si="1">+F4*J4/100</f>
        <v>2.7119999999999997</v>
      </c>
      <c r="N4" s="21">
        <f>+K4+L4+M4</f>
        <v>14.463999999999999</v>
      </c>
    </row>
    <row r="5" spans="1:14" x14ac:dyDescent="0.3">
      <c r="A5" s="72">
        <f>+A4+1</f>
        <v>2</v>
      </c>
      <c r="B5" s="64">
        <v>5</v>
      </c>
      <c r="C5" s="73" t="s">
        <v>247</v>
      </c>
      <c r="D5" s="64" t="s">
        <v>248</v>
      </c>
      <c r="E5" s="74">
        <v>6816</v>
      </c>
      <c r="F5" s="64">
        <v>6816</v>
      </c>
      <c r="G5" s="74">
        <v>10</v>
      </c>
      <c r="H5" s="64">
        <v>10</v>
      </c>
      <c r="I5" s="64">
        <v>100</v>
      </c>
      <c r="J5" s="65">
        <v>0.03</v>
      </c>
      <c r="K5" s="21">
        <f t="shared" ref="K5:K68" si="2">+F5/(H5*I5)</f>
        <v>6.8159999999999998</v>
      </c>
      <c r="L5" s="21">
        <f t="shared" si="0"/>
        <v>2.0448</v>
      </c>
      <c r="M5" s="21">
        <f t="shared" si="1"/>
        <v>2.0448</v>
      </c>
      <c r="N5" s="21">
        <f>+K5+L5+M5</f>
        <v>10.9056</v>
      </c>
    </row>
    <row r="6" spans="1:14" x14ac:dyDescent="0.3">
      <c r="A6" s="72">
        <f t="shared" ref="A6:A69" si="3">+A5+1</f>
        <v>3</v>
      </c>
      <c r="B6" s="64">
        <v>5</v>
      </c>
      <c r="C6" s="73" t="s">
        <v>247</v>
      </c>
      <c r="D6" s="64" t="s">
        <v>249</v>
      </c>
      <c r="E6" s="74">
        <v>9597</v>
      </c>
      <c r="F6" s="64">
        <v>9597</v>
      </c>
      <c r="G6" s="74">
        <v>10</v>
      </c>
      <c r="H6" s="64">
        <v>10</v>
      </c>
      <c r="I6" s="64">
        <v>100</v>
      </c>
      <c r="J6" s="65">
        <v>0.03</v>
      </c>
      <c r="K6" s="21">
        <f t="shared" si="2"/>
        <v>9.5969999999999995</v>
      </c>
      <c r="L6" s="21">
        <f t="shared" si="0"/>
        <v>2.8790999999999998</v>
      </c>
      <c r="M6" s="21">
        <f t="shared" si="1"/>
        <v>2.8790999999999998</v>
      </c>
      <c r="N6" s="21">
        <f t="shared" ref="N6:N69" si="4">+K6+L6+M6</f>
        <v>15.355199999999998</v>
      </c>
    </row>
    <row r="7" spans="1:14" x14ac:dyDescent="0.3">
      <c r="A7" s="72">
        <f t="shared" si="3"/>
        <v>4</v>
      </c>
      <c r="B7" s="64">
        <v>6</v>
      </c>
      <c r="C7" s="73" t="s">
        <v>250</v>
      </c>
      <c r="D7" s="64" t="s">
        <v>251</v>
      </c>
      <c r="E7" s="74">
        <v>4936</v>
      </c>
      <c r="F7" s="64">
        <v>4936</v>
      </c>
      <c r="G7" s="74">
        <v>10</v>
      </c>
      <c r="H7" s="64">
        <v>10</v>
      </c>
      <c r="I7" s="64">
        <v>100</v>
      </c>
      <c r="J7" s="65">
        <v>0.03</v>
      </c>
      <c r="K7" s="21">
        <f t="shared" si="2"/>
        <v>4.9359999999999999</v>
      </c>
      <c r="L7" s="21">
        <f t="shared" si="0"/>
        <v>1.4807999999999999</v>
      </c>
      <c r="M7" s="21">
        <f t="shared" si="1"/>
        <v>1.4807999999999999</v>
      </c>
      <c r="N7" s="21">
        <f t="shared" si="4"/>
        <v>7.8976000000000006</v>
      </c>
    </row>
    <row r="8" spans="1:14" x14ac:dyDescent="0.3">
      <c r="A8" s="72">
        <f t="shared" si="3"/>
        <v>5</v>
      </c>
      <c r="B8" s="64">
        <v>6</v>
      </c>
      <c r="C8" s="73" t="s">
        <v>250</v>
      </c>
      <c r="D8" s="64" t="s">
        <v>252</v>
      </c>
      <c r="E8" s="74">
        <v>5639</v>
      </c>
      <c r="F8" s="64">
        <v>5639</v>
      </c>
      <c r="G8" s="74">
        <v>10</v>
      </c>
      <c r="H8" s="64">
        <v>10</v>
      </c>
      <c r="I8" s="64">
        <v>100</v>
      </c>
      <c r="J8" s="65">
        <v>0.03</v>
      </c>
      <c r="K8" s="21">
        <f t="shared" si="2"/>
        <v>5.6390000000000002</v>
      </c>
      <c r="L8" s="21">
        <f t="shared" si="0"/>
        <v>1.6917</v>
      </c>
      <c r="M8" s="21">
        <f t="shared" si="1"/>
        <v>1.6917</v>
      </c>
      <c r="N8" s="21">
        <f t="shared" si="4"/>
        <v>9.0224000000000011</v>
      </c>
    </row>
    <row r="9" spans="1:14" x14ac:dyDescent="0.3">
      <c r="A9" s="72">
        <f t="shared" si="3"/>
        <v>6</v>
      </c>
      <c r="B9" s="64">
        <v>7</v>
      </c>
      <c r="C9" s="73" t="s">
        <v>253</v>
      </c>
      <c r="D9" s="64" t="s">
        <v>254</v>
      </c>
      <c r="E9" s="74">
        <v>1797</v>
      </c>
      <c r="F9" s="64">
        <v>1797</v>
      </c>
      <c r="G9" s="74">
        <v>10</v>
      </c>
      <c r="H9" s="64">
        <v>10</v>
      </c>
      <c r="I9" s="64">
        <v>100</v>
      </c>
      <c r="J9" s="65">
        <v>0.2</v>
      </c>
      <c r="K9" s="21">
        <f t="shared" si="2"/>
        <v>1.7969999999999999</v>
      </c>
      <c r="L9" s="21">
        <f t="shared" si="0"/>
        <v>0.53909999999999991</v>
      </c>
      <c r="M9" s="21">
        <f t="shared" si="1"/>
        <v>3.5940000000000003</v>
      </c>
      <c r="N9" s="21">
        <f t="shared" si="4"/>
        <v>5.9301000000000004</v>
      </c>
    </row>
    <row r="10" spans="1:14" x14ac:dyDescent="0.3">
      <c r="A10" s="72">
        <f t="shared" si="3"/>
        <v>7</v>
      </c>
      <c r="B10" s="64">
        <v>7</v>
      </c>
      <c r="C10" s="73" t="s">
        <v>253</v>
      </c>
      <c r="D10" s="64" t="s">
        <v>255</v>
      </c>
      <c r="E10" s="74">
        <v>2005</v>
      </c>
      <c r="F10" s="64">
        <v>2005</v>
      </c>
      <c r="G10" s="74">
        <v>10</v>
      </c>
      <c r="H10" s="64">
        <v>10</v>
      </c>
      <c r="I10" s="64">
        <v>100</v>
      </c>
      <c r="J10" s="65">
        <v>0.2</v>
      </c>
      <c r="K10" s="21">
        <f t="shared" si="2"/>
        <v>2.0049999999999999</v>
      </c>
      <c r="L10" s="21">
        <f t="shared" si="0"/>
        <v>0.60150000000000003</v>
      </c>
      <c r="M10" s="21">
        <f t="shared" si="1"/>
        <v>4.01</v>
      </c>
      <c r="N10" s="21">
        <f t="shared" si="4"/>
        <v>6.6165000000000003</v>
      </c>
    </row>
    <row r="11" spans="1:14" x14ac:dyDescent="0.3">
      <c r="A11" s="72">
        <f t="shared" si="3"/>
        <v>8</v>
      </c>
      <c r="B11" s="64">
        <v>7</v>
      </c>
      <c r="C11" s="73" t="s">
        <v>253</v>
      </c>
      <c r="D11" s="64" t="s">
        <v>256</v>
      </c>
      <c r="E11" s="74">
        <v>2218</v>
      </c>
      <c r="F11" s="64">
        <v>2218</v>
      </c>
      <c r="G11" s="74">
        <v>10</v>
      </c>
      <c r="H11" s="64">
        <v>10</v>
      </c>
      <c r="I11" s="64">
        <v>100</v>
      </c>
      <c r="J11" s="65">
        <v>0.2</v>
      </c>
      <c r="K11" s="21">
        <f t="shared" si="2"/>
        <v>2.218</v>
      </c>
      <c r="L11" s="21">
        <f t="shared" si="0"/>
        <v>0.66539999999999999</v>
      </c>
      <c r="M11" s="21">
        <f t="shared" si="1"/>
        <v>4.4359999999999999</v>
      </c>
      <c r="N11" s="21">
        <f t="shared" si="4"/>
        <v>7.3193999999999999</v>
      </c>
    </row>
    <row r="12" spans="1:14" x14ac:dyDescent="0.3">
      <c r="A12" s="72">
        <f t="shared" si="3"/>
        <v>9</v>
      </c>
      <c r="B12" s="64">
        <v>7</v>
      </c>
      <c r="C12" s="73" t="s">
        <v>253</v>
      </c>
      <c r="D12" s="64" t="s">
        <v>257</v>
      </c>
      <c r="E12" s="74">
        <v>2431</v>
      </c>
      <c r="F12" s="64">
        <v>2431</v>
      </c>
      <c r="G12" s="74">
        <v>10</v>
      </c>
      <c r="H12" s="64">
        <v>10</v>
      </c>
      <c r="I12" s="64">
        <v>100</v>
      </c>
      <c r="J12" s="65">
        <v>0.2</v>
      </c>
      <c r="K12" s="21">
        <f t="shared" si="2"/>
        <v>2.431</v>
      </c>
      <c r="L12" s="21">
        <f t="shared" si="0"/>
        <v>0.72929999999999995</v>
      </c>
      <c r="M12" s="21">
        <f t="shared" si="1"/>
        <v>4.8620000000000001</v>
      </c>
      <c r="N12" s="21">
        <f t="shared" si="4"/>
        <v>8.0222999999999995</v>
      </c>
    </row>
    <row r="13" spans="1:14" x14ac:dyDescent="0.3">
      <c r="A13" s="72">
        <f t="shared" si="3"/>
        <v>10</v>
      </c>
      <c r="B13" s="64">
        <v>7</v>
      </c>
      <c r="C13" s="73" t="s">
        <v>253</v>
      </c>
      <c r="D13" s="64" t="s">
        <v>258</v>
      </c>
      <c r="E13" s="74">
        <v>2643</v>
      </c>
      <c r="F13" s="64">
        <v>2643</v>
      </c>
      <c r="G13" s="74">
        <v>10</v>
      </c>
      <c r="H13" s="64">
        <v>10</v>
      </c>
      <c r="I13" s="64">
        <v>100</v>
      </c>
      <c r="J13" s="65">
        <v>0.2</v>
      </c>
      <c r="K13" s="21">
        <f t="shared" si="2"/>
        <v>2.6429999999999998</v>
      </c>
      <c r="L13" s="21">
        <f t="shared" si="0"/>
        <v>0.79289999999999994</v>
      </c>
      <c r="M13" s="21">
        <f t="shared" si="1"/>
        <v>5.2860000000000005</v>
      </c>
      <c r="N13" s="21">
        <f t="shared" si="4"/>
        <v>8.7218999999999998</v>
      </c>
    </row>
    <row r="14" spans="1:14" x14ac:dyDescent="0.3">
      <c r="A14" s="72">
        <f t="shared" si="3"/>
        <v>11</v>
      </c>
      <c r="B14" s="64">
        <v>7</v>
      </c>
      <c r="C14" s="73" t="s">
        <v>253</v>
      </c>
      <c r="D14" s="64" t="s">
        <v>259</v>
      </c>
      <c r="E14" s="74">
        <v>2960</v>
      </c>
      <c r="F14" s="64">
        <v>2960</v>
      </c>
      <c r="G14" s="74">
        <v>10</v>
      </c>
      <c r="H14" s="64">
        <v>10</v>
      </c>
      <c r="I14" s="64">
        <v>100</v>
      </c>
      <c r="J14" s="65">
        <v>0.2</v>
      </c>
      <c r="K14" s="21">
        <f t="shared" si="2"/>
        <v>2.96</v>
      </c>
      <c r="L14" s="21">
        <f t="shared" si="0"/>
        <v>0.88800000000000001</v>
      </c>
      <c r="M14" s="21">
        <f t="shared" si="1"/>
        <v>5.92</v>
      </c>
      <c r="N14" s="21">
        <f t="shared" si="4"/>
        <v>9.7680000000000007</v>
      </c>
    </row>
    <row r="15" spans="1:14" x14ac:dyDescent="0.3">
      <c r="A15" s="72">
        <f t="shared" si="3"/>
        <v>12</v>
      </c>
      <c r="B15" s="64">
        <v>8</v>
      </c>
      <c r="C15" s="73" t="s">
        <v>260</v>
      </c>
      <c r="D15" s="64" t="s">
        <v>261</v>
      </c>
      <c r="E15" s="74">
        <v>16658</v>
      </c>
      <c r="F15" s="64">
        <v>16658</v>
      </c>
      <c r="G15" s="74">
        <v>10</v>
      </c>
      <c r="H15" s="64">
        <v>10</v>
      </c>
      <c r="I15" s="64">
        <v>100</v>
      </c>
      <c r="J15" s="65">
        <v>0.03</v>
      </c>
      <c r="K15" s="21">
        <f t="shared" si="2"/>
        <v>16.658000000000001</v>
      </c>
      <c r="L15" s="21">
        <f t="shared" si="0"/>
        <v>4.9973999999999998</v>
      </c>
      <c r="M15" s="21">
        <f t="shared" si="1"/>
        <v>4.9973999999999998</v>
      </c>
      <c r="N15" s="21">
        <f t="shared" si="4"/>
        <v>26.652799999999999</v>
      </c>
    </row>
    <row r="16" spans="1:14" x14ac:dyDescent="0.3">
      <c r="A16" s="72">
        <f t="shared" si="3"/>
        <v>13</v>
      </c>
      <c r="B16" s="64">
        <v>9</v>
      </c>
      <c r="C16" s="73" t="s">
        <v>262</v>
      </c>
      <c r="D16" s="64" t="s">
        <v>263</v>
      </c>
      <c r="E16" s="74">
        <v>12815</v>
      </c>
      <c r="F16" s="64">
        <v>12815</v>
      </c>
      <c r="G16" s="74">
        <v>10</v>
      </c>
      <c r="H16" s="64">
        <v>10</v>
      </c>
      <c r="I16" s="64">
        <v>100</v>
      </c>
      <c r="J16" s="65">
        <v>0.04</v>
      </c>
      <c r="K16" s="21">
        <f t="shared" si="2"/>
        <v>12.815</v>
      </c>
      <c r="L16" s="21">
        <f t="shared" si="0"/>
        <v>3.8445</v>
      </c>
      <c r="M16" s="21">
        <f t="shared" si="1"/>
        <v>5.1260000000000003</v>
      </c>
      <c r="N16" s="21">
        <f t="shared" si="4"/>
        <v>21.785500000000003</v>
      </c>
    </row>
    <row r="17" spans="1:14" x14ac:dyDescent="0.3">
      <c r="A17" s="72">
        <f t="shared" si="3"/>
        <v>14</v>
      </c>
      <c r="B17" s="64">
        <v>10</v>
      </c>
      <c r="C17" s="73" t="s">
        <v>264</v>
      </c>
      <c r="D17" s="64" t="s">
        <v>265</v>
      </c>
      <c r="E17" s="74">
        <v>6091</v>
      </c>
      <c r="F17" s="64">
        <v>6091</v>
      </c>
      <c r="G17" s="74">
        <v>10</v>
      </c>
      <c r="H17" s="64">
        <v>10</v>
      </c>
      <c r="I17" s="64">
        <v>100</v>
      </c>
      <c r="J17" s="65">
        <v>0.04</v>
      </c>
      <c r="K17" s="21">
        <f t="shared" si="2"/>
        <v>6.0910000000000002</v>
      </c>
      <c r="L17" s="21">
        <f t="shared" si="0"/>
        <v>1.8272999999999999</v>
      </c>
      <c r="M17" s="21">
        <f t="shared" si="1"/>
        <v>2.4364000000000003</v>
      </c>
      <c r="N17" s="21">
        <f t="shared" si="4"/>
        <v>10.354700000000001</v>
      </c>
    </row>
    <row r="18" spans="1:14" x14ac:dyDescent="0.3">
      <c r="A18" s="72">
        <f t="shared" si="3"/>
        <v>15</v>
      </c>
      <c r="B18" s="64">
        <v>10</v>
      </c>
      <c r="C18" s="73" t="s">
        <v>264</v>
      </c>
      <c r="D18" s="64" t="s">
        <v>266</v>
      </c>
      <c r="E18" s="74">
        <v>7608</v>
      </c>
      <c r="F18" s="64">
        <v>7608</v>
      </c>
      <c r="G18" s="74">
        <v>10</v>
      </c>
      <c r="H18" s="64">
        <v>10</v>
      </c>
      <c r="I18" s="64">
        <v>100</v>
      </c>
      <c r="J18" s="65">
        <v>0.04</v>
      </c>
      <c r="K18" s="21">
        <f t="shared" si="2"/>
        <v>7.6079999999999997</v>
      </c>
      <c r="L18" s="21">
        <f t="shared" si="0"/>
        <v>2.2824</v>
      </c>
      <c r="M18" s="21">
        <f t="shared" si="1"/>
        <v>3.0432000000000001</v>
      </c>
      <c r="N18" s="21">
        <f t="shared" si="4"/>
        <v>12.9336</v>
      </c>
    </row>
    <row r="19" spans="1:14" x14ac:dyDescent="0.3">
      <c r="A19" s="72">
        <f t="shared" si="3"/>
        <v>16</v>
      </c>
      <c r="B19" s="64">
        <v>11</v>
      </c>
      <c r="C19" s="73" t="s">
        <v>267</v>
      </c>
      <c r="D19" s="64" t="s">
        <v>268</v>
      </c>
      <c r="E19" s="74">
        <v>10723</v>
      </c>
      <c r="F19" s="64">
        <v>10723</v>
      </c>
      <c r="G19" s="74">
        <v>10</v>
      </c>
      <c r="H19" s="64">
        <v>10</v>
      </c>
      <c r="I19" s="64">
        <v>100</v>
      </c>
      <c r="J19" s="65">
        <v>0.04</v>
      </c>
      <c r="K19" s="21">
        <f t="shared" si="2"/>
        <v>10.723000000000001</v>
      </c>
      <c r="L19" s="21">
        <f t="shared" si="0"/>
        <v>3.2168999999999999</v>
      </c>
      <c r="M19" s="21">
        <f t="shared" si="1"/>
        <v>4.2892000000000001</v>
      </c>
      <c r="N19" s="21">
        <f t="shared" si="4"/>
        <v>18.229100000000003</v>
      </c>
    </row>
    <row r="20" spans="1:14" x14ac:dyDescent="0.3">
      <c r="A20" s="72">
        <f t="shared" si="3"/>
        <v>17</v>
      </c>
      <c r="B20" s="64">
        <v>11</v>
      </c>
      <c r="C20" s="73" t="s">
        <v>267</v>
      </c>
      <c r="D20" s="64" t="s">
        <v>269</v>
      </c>
      <c r="E20" s="74">
        <v>13403</v>
      </c>
      <c r="F20" s="64">
        <v>13403</v>
      </c>
      <c r="G20" s="74">
        <v>10</v>
      </c>
      <c r="H20" s="64">
        <v>10</v>
      </c>
      <c r="I20" s="64">
        <v>100</v>
      </c>
      <c r="J20" s="65">
        <v>0.04</v>
      </c>
      <c r="K20" s="21">
        <f t="shared" si="2"/>
        <v>13.403</v>
      </c>
      <c r="L20" s="21">
        <f t="shared" si="0"/>
        <v>4.0209000000000001</v>
      </c>
      <c r="M20" s="21">
        <f t="shared" si="1"/>
        <v>5.3612000000000002</v>
      </c>
      <c r="N20" s="21">
        <f t="shared" si="4"/>
        <v>22.7851</v>
      </c>
    </row>
    <row r="21" spans="1:14" x14ac:dyDescent="0.3">
      <c r="A21" s="72">
        <f t="shared" si="3"/>
        <v>18</v>
      </c>
      <c r="B21" s="64">
        <v>12</v>
      </c>
      <c r="C21" s="73" t="s">
        <v>270</v>
      </c>
      <c r="D21" s="64" t="s">
        <v>271</v>
      </c>
      <c r="E21" s="74">
        <v>1380</v>
      </c>
      <c r="F21" s="64">
        <v>1380</v>
      </c>
      <c r="G21" s="74">
        <v>10</v>
      </c>
      <c r="H21" s="64">
        <v>10</v>
      </c>
      <c r="I21" s="64">
        <v>100</v>
      </c>
      <c r="J21" s="65">
        <v>7.0000000000000007E-2</v>
      </c>
      <c r="K21" s="21">
        <f t="shared" si="2"/>
        <v>1.38</v>
      </c>
      <c r="L21" s="21">
        <f t="shared" si="0"/>
        <v>0.41399999999999998</v>
      </c>
      <c r="M21" s="21">
        <f t="shared" si="1"/>
        <v>0.96600000000000008</v>
      </c>
      <c r="N21" s="21">
        <f t="shared" si="4"/>
        <v>2.76</v>
      </c>
    </row>
    <row r="22" spans="1:14" x14ac:dyDescent="0.3">
      <c r="A22" s="72">
        <f t="shared" si="3"/>
        <v>19</v>
      </c>
      <c r="B22" s="64">
        <v>12</v>
      </c>
      <c r="C22" s="73" t="s">
        <v>270</v>
      </c>
      <c r="D22" s="64" t="s">
        <v>272</v>
      </c>
      <c r="E22" s="74">
        <v>1613</v>
      </c>
      <c r="F22" s="64">
        <v>1600</v>
      </c>
      <c r="G22" s="74">
        <v>10</v>
      </c>
      <c r="H22" s="64">
        <v>10</v>
      </c>
      <c r="I22" s="64">
        <v>100</v>
      </c>
      <c r="J22" s="65">
        <v>7.0000000000000007E-2</v>
      </c>
      <c r="K22" s="21">
        <f t="shared" si="2"/>
        <v>1.6</v>
      </c>
      <c r="L22" s="21">
        <f t="shared" si="0"/>
        <v>0.48</v>
      </c>
      <c r="M22" s="21">
        <f t="shared" si="1"/>
        <v>1.1200000000000001</v>
      </c>
      <c r="N22" s="21">
        <f t="shared" si="4"/>
        <v>3.2</v>
      </c>
    </row>
    <row r="23" spans="1:14" x14ac:dyDescent="0.3">
      <c r="A23" s="72">
        <f t="shared" si="3"/>
        <v>20</v>
      </c>
      <c r="B23" s="64">
        <v>12</v>
      </c>
      <c r="C23" s="73" t="s">
        <v>270</v>
      </c>
      <c r="D23" s="64" t="s">
        <v>273</v>
      </c>
      <c r="E23" s="74">
        <v>1843</v>
      </c>
      <c r="F23" s="64">
        <v>1843</v>
      </c>
      <c r="G23" s="74">
        <v>10</v>
      </c>
      <c r="H23" s="64">
        <v>10</v>
      </c>
      <c r="I23" s="64">
        <v>100</v>
      </c>
      <c r="J23" s="65">
        <v>7.0000000000000007E-2</v>
      </c>
      <c r="K23" s="21">
        <f t="shared" si="2"/>
        <v>1.843</v>
      </c>
      <c r="L23" s="21">
        <f t="shared" si="0"/>
        <v>0.55289999999999995</v>
      </c>
      <c r="M23" s="21">
        <f t="shared" si="1"/>
        <v>1.2901000000000002</v>
      </c>
      <c r="N23" s="21">
        <f t="shared" si="4"/>
        <v>3.6860000000000004</v>
      </c>
    </row>
    <row r="24" spans="1:14" x14ac:dyDescent="0.3">
      <c r="A24" s="72">
        <f t="shared" si="3"/>
        <v>21</v>
      </c>
      <c r="B24" s="64">
        <v>12</v>
      </c>
      <c r="C24" s="73" t="s">
        <v>270</v>
      </c>
      <c r="D24" s="64" t="s">
        <v>274</v>
      </c>
      <c r="E24" s="74">
        <v>2072</v>
      </c>
      <c r="F24" s="64">
        <v>2072</v>
      </c>
      <c r="G24" s="74">
        <v>10</v>
      </c>
      <c r="H24" s="64">
        <v>10</v>
      </c>
      <c r="I24" s="64">
        <v>100</v>
      </c>
      <c r="J24" s="65">
        <v>7.0000000000000007E-2</v>
      </c>
      <c r="K24" s="21">
        <f t="shared" si="2"/>
        <v>2.0720000000000001</v>
      </c>
      <c r="L24" s="21">
        <f t="shared" si="0"/>
        <v>0.62159999999999993</v>
      </c>
      <c r="M24" s="21">
        <f t="shared" si="1"/>
        <v>1.4504000000000001</v>
      </c>
      <c r="N24" s="21">
        <f t="shared" si="4"/>
        <v>4.1440000000000001</v>
      </c>
    </row>
    <row r="25" spans="1:14" x14ac:dyDescent="0.3">
      <c r="A25" s="72">
        <f t="shared" si="3"/>
        <v>22</v>
      </c>
      <c r="B25" s="64">
        <v>12</v>
      </c>
      <c r="C25" s="73" t="s">
        <v>270</v>
      </c>
      <c r="D25" s="64" t="s">
        <v>275</v>
      </c>
      <c r="E25" s="74">
        <v>2301</v>
      </c>
      <c r="F25" s="64">
        <v>2301</v>
      </c>
      <c r="G25" s="74">
        <v>10</v>
      </c>
      <c r="H25" s="64">
        <v>10</v>
      </c>
      <c r="I25" s="64">
        <v>100</v>
      </c>
      <c r="J25" s="65">
        <v>7.0000000000000007E-2</v>
      </c>
      <c r="K25" s="21">
        <f t="shared" si="2"/>
        <v>2.3010000000000002</v>
      </c>
      <c r="L25" s="21">
        <f t="shared" si="0"/>
        <v>0.69030000000000002</v>
      </c>
      <c r="M25" s="21">
        <f t="shared" si="1"/>
        <v>1.6107000000000002</v>
      </c>
      <c r="N25" s="21">
        <f t="shared" si="4"/>
        <v>4.6020000000000003</v>
      </c>
    </row>
    <row r="26" spans="1:14" x14ac:dyDescent="0.3">
      <c r="A26" s="72">
        <f t="shared" si="3"/>
        <v>23</v>
      </c>
      <c r="B26" s="64">
        <v>13</v>
      </c>
      <c r="C26" s="73" t="s">
        <v>276</v>
      </c>
      <c r="D26" s="64" t="s">
        <v>277</v>
      </c>
      <c r="E26" s="74">
        <v>2389</v>
      </c>
      <c r="F26" s="64">
        <v>2389</v>
      </c>
      <c r="G26" s="74">
        <v>10</v>
      </c>
      <c r="H26" s="64">
        <v>10</v>
      </c>
      <c r="I26" s="64">
        <v>100</v>
      </c>
      <c r="J26" s="65">
        <v>7.0000000000000007E-2</v>
      </c>
      <c r="K26" s="21">
        <f t="shared" si="2"/>
        <v>2.3889999999999998</v>
      </c>
      <c r="L26" s="21">
        <f t="shared" si="0"/>
        <v>0.7167</v>
      </c>
      <c r="M26" s="21">
        <f t="shared" si="1"/>
        <v>1.6723000000000001</v>
      </c>
      <c r="N26" s="21">
        <f t="shared" si="4"/>
        <v>4.7779999999999996</v>
      </c>
    </row>
    <row r="27" spans="1:14" x14ac:dyDescent="0.3">
      <c r="A27" s="72">
        <f t="shared" si="3"/>
        <v>24</v>
      </c>
      <c r="B27" s="64">
        <v>13</v>
      </c>
      <c r="C27" s="73" t="s">
        <v>276</v>
      </c>
      <c r="D27" s="64" t="s">
        <v>278</v>
      </c>
      <c r="E27" s="74">
        <v>2576</v>
      </c>
      <c r="F27" s="64">
        <v>2570</v>
      </c>
      <c r="G27" s="74">
        <v>10</v>
      </c>
      <c r="H27" s="64">
        <v>10</v>
      </c>
      <c r="I27" s="64">
        <v>100</v>
      </c>
      <c r="J27" s="65">
        <v>7.0000000000000007E-2</v>
      </c>
      <c r="K27" s="21">
        <f t="shared" si="2"/>
        <v>2.57</v>
      </c>
      <c r="L27" s="21">
        <f t="shared" si="0"/>
        <v>0.77099999999999991</v>
      </c>
      <c r="M27" s="21">
        <f t="shared" si="1"/>
        <v>1.7990000000000002</v>
      </c>
      <c r="N27" s="21">
        <f t="shared" si="4"/>
        <v>5.14</v>
      </c>
    </row>
    <row r="28" spans="1:14" x14ac:dyDescent="0.3">
      <c r="A28" s="72">
        <f t="shared" si="3"/>
        <v>25</v>
      </c>
      <c r="B28" s="64">
        <v>14</v>
      </c>
      <c r="C28" s="73" t="s">
        <v>279</v>
      </c>
      <c r="D28" s="64" t="s">
        <v>280</v>
      </c>
      <c r="E28" s="74">
        <v>3844</v>
      </c>
      <c r="F28" s="64">
        <v>3844</v>
      </c>
      <c r="G28" s="74">
        <v>10</v>
      </c>
      <c r="H28" s="64">
        <v>10</v>
      </c>
      <c r="I28" s="64">
        <v>100</v>
      </c>
      <c r="J28" s="65">
        <v>7.0000000000000007E-2</v>
      </c>
      <c r="K28" s="21">
        <f t="shared" si="2"/>
        <v>3.8439999999999999</v>
      </c>
      <c r="L28" s="21">
        <f t="shared" si="0"/>
        <v>1.1531999999999998</v>
      </c>
      <c r="M28" s="21">
        <f t="shared" si="1"/>
        <v>2.6908000000000003</v>
      </c>
      <c r="N28" s="21">
        <f t="shared" si="4"/>
        <v>7.6879999999999997</v>
      </c>
    </row>
    <row r="29" spans="1:14" x14ac:dyDescent="0.3">
      <c r="A29" s="72">
        <f t="shared" si="3"/>
        <v>26</v>
      </c>
      <c r="B29" s="64">
        <v>14</v>
      </c>
      <c r="C29" s="73" t="s">
        <v>279</v>
      </c>
      <c r="D29" s="64" t="s">
        <v>281</v>
      </c>
      <c r="E29" s="74">
        <v>4152</v>
      </c>
      <c r="F29" s="64">
        <v>4152</v>
      </c>
      <c r="G29" s="74">
        <v>10</v>
      </c>
      <c r="H29" s="64">
        <v>10</v>
      </c>
      <c r="I29" s="64">
        <v>100</v>
      </c>
      <c r="J29" s="65">
        <v>0.7</v>
      </c>
      <c r="K29" s="21">
        <f t="shared" si="2"/>
        <v>4.1520000000000001</v>
      </c>
      <c r="L29" s="21">
        <f t="shared" si="0"/>
        <v>1.2456</v>
      </c>
      <c r="M29" s="21">
        <f t="shared" si="1"/>
        <v>29.063999999999997</v>
      </c>
      <c r="N29" s="21">
        <f t="shared" si="4"/>
        <v>34.461599999999997</v>
      </c>
    </row>
    <row r="30" spans="1:14" x14ac:dyDescent="0.3">
      <c r="A30" s="72">
        <f t="shared" si="3"/>
        <v>27</v>
      </c>
      <c r="B30" s="64">
        <v>14</v>
      </c>
      <c r="C30" s="73" t="s">
        <v>279</v>
      </c>
      <c r="D30" s="64" t="s">
        <v>282</v>
      </c>
      <c r="E30" s="74">
        <v>4461</v>
      </c>
      <c r="F30" s="64">
        <v>4461</v>
      </c>
      <c r="G30" s="74">
        <v>10</v>
      </c>
      <c r="H30" s="64">
        <v>10</v>
      </c>
      <c r="I30" s="64">
        <v>100</v>
      </c>
      <c r="J30" s="65">
        <v>7.0000000000000007E-2</v>
      </c>
      <c r="K30" s="21">
        <f t="shared" si="2"/>
        <v>4.4610000000000003</v>
      </c>
      <c r="L30" s="21">
        <f t="shared" si="0"/>
        <v>1.3382999999999998</v>
      </c>
      <c r="M30" s="21">
        <f t="shared" si="1"/>
        <v>3.1227000000000005</v>
      </c>
      <c r="N30" s="21">
        <f t="shared" si="4"/>
        <v>8.9220000000000006</v>
      </c>
    </row>
    <row r="31" spans="1:14" x14ac:dyDescent="0.3">
      <c r="A31" s="72">
        <f t="shared" si="3"/>
        <v>28</v>
      </c>
      <c r="B31" s="64">
        <v>14</v>
      </c>
      <c r="C31" s="73" t="s">
        <v>279</v>
      </c>
      <c r="D31" s="64" t="s">
        <v>283</v>
      </c>
      <c r="E31" s="74">
        <v>4919</v>
      </c>
      <c r="F31" s="64">
        <v>4919</v>
      </c>
      <c r="G31" s="74">
        <v>10</v>
      </c>
      <c r="H31" s="64">
        <v>10</v>
      </c>
      <c r="I31" s="64">
        <v>100</v>
      </c>
      <c r="J31" s="65">
        <v>7.0000000000000007E-2</v>
      </c>
      <c r="K31" s="21">
        <f t="shared" si="2"/>
        <v>4.9189999999999996</v>
      </c>
      <c r="L31" s="21">
        <f t="shared" si="0"/>
        <v>1.4756999999999998</v>
      </c>
      <c r="M31" s="21">
        <f t="shared" si="1"/>
        <v>3.4433000000000002</v>
      </c>
      <c r="N31" s="21">
        <f t="shared" si="4"/>
        <v>9.8379999999999992</v>
      </c>
    </row>
    <row r="32" spans="1:14" x14ac:dyDescent="0.3">
      <c r="A32" s="72">
        <f t="shared" si="3"/>
        <v>29</v>
      </c>
      <c r="B32" s="64">
        <v>14</v>
      </c>
      <c r="C32" s="73" t="s">
        <v>279</v>
      </c>
      <c r="D32" s="64" t="s">
        <v>284</v>
      </c>
      <c r="E32" s="74">
        <v>5378</v>
      </c>
      <c r="F32" s="64">
        <v>5378</v>
      </c>
      <c r="G32" s="74">
        <v>10</v>
      </c>
      <c r="H32" s="64">
        <v>10</v>
      </c>
      <c r="I32" s="64">
        <v>100</v>
      </c>
      <c r="J32" s="65">
        <v>7.0000000000000007E-2</v>
      </c>
      <c r="K32" s="21">
        <f t="shared" si="2"/>
        <v>5.3780000000000001</v>
      </c>
      <c r="L32" s="21">
        <f t="shared" si="0"/>
        <v>1.6133999999999999</v>
      </c>
      <c r="M32" s="21">
        <f t="shared" si="1"/>
        <v>3.7646000000000002</v>
      </c>
      <c r="N32" s="21">
        <f t="shared" si="4"/>
        <v>10.756</v>
      </c>
    </row>
    <row r="33" spans="1:14" x14ac:dyDescent="0.3">
      <c r="A33" s="72">
        <f t="shared" si="3"/>
        <v>30</v>
      </c>
      <c r="B33" s="64">
        <v>14</v>
      </c>
      <c r="C33" s="73" t="s">
        <v>279</v>
      </c>
      <c r="D33" s="64" t="s">
        <v>285</v>
      </c>
      <c r="E33" s="74">
        <v>6003</v>
      </c>
      <c r="F33" s="64">
        <v>6003</v>
      </c>
      <c r="G33" s="74">
        <v>10</v>
      </c>
      <c r="H33" s="64">
        <v>10</v>
      </c>
      <c r="I33" s="64">
        <v>100</v>
      </c>
      <c r="J33" s="65">
        <v>7.0000000000000007E-2</v>
      </c>
      <c r="K33" s="21">
        <f t="shared" si="2"/>
        <v>6.0030000000000001</v>
      </c>
      <c r="L33" s="21">
        <f t="shared" si="0"/>
        <v>1.8008999999999999</v>
      </c>
      <c r="M33" s="21">
        <f t="shared" si="1"/>
        <v>4.2021000000000006</v>
      </c>
      <c r="N33" s="21">
        <f t="shared" si="4"/>
        <v>12.006</v>
      </c>
    </row>
    <row r="34" spans="1:14" x14ac:dyDescent="0.3">
      <c r="A34" s="72">
        <f t="shared" si="3"/>
        <v>31</v>
      </c>
      <c r="B34" s="64">
        <v>14</v>
      </c>
      <c r="C34" s="73" t="s">
        <v>279</v>
      </c>
      <c r="D34" s="64" t="s">
        <v>286</v>
      </c>
      <c r="E34" s="74">
        <v>6629</v>
      </c>
      <c r="F34" s="64">
        <v>6629</v>
      </c>
      <c r="G34" s="74">
        <v>10</v>
      </c>
      <c r="H34" s="64">
        <v>10</v>
      </c>
      <c r="I34" s="64">
        <v>100</v>
      </c>
      <c r="J34" s="65">
        <v>7.0000000000000007E-2</v>
      </c>
      <c r="K34" s="21">
        <f t="shared" si="2"/>
        <v>6.6289999999999996</v>
      </c>
      <c r="L34" s="21">
        <f t="shared" si="0"/>
        <v>1.9887000000000001</v>
      </c>
      <c r="M34" s="21">
        <f t="shared" si="1"/>
        <v>4.6402999999999999</v>
      </c>
      <c r="N34" s="21">
        <f t="shared" si="4"/>
        <v>13.257999999999999</v>
      </c>
    </row>
    <row r="35" spans="1:14" x14ac:dyDescent="0.3">
      <c r="A35" s="72">
        <f t="shared" si="3"/>
        <v>32</v>
      </c>
      <c r="B35" s="64">
        <v>14</v>
      </c>
      <c r="C35" s="73" t="s">
        <v>279</v>
      </c>
      <c r="D35" s="64" t="s">
        <v>287</v>
      </c>
      <c r="E35" s="74">
        <v>7087</v>
      </c>
      <c r="F35" s="64">
        <v>7087</v>
      </c>
      <c r="G35" s="74">
        <v>10</v>
      </c>
      <c r="H35" s="64">
        <v>10</v>
      </c>
      <c r="I35" s="64">
        <v>100</v>
      </c>
      <c r="J35" s="65">
        <v>7.0000000000000007E-2</v>
      </c>
      <c r="K35" s="21">
        <f t="shared" si="2"/>
        <v>7.0869999999999997</v>
      </c>
      <c r="L35" s="21">
        <f t="shared" si="0"/>
        <v>2.1261000000000001</v>
      </c>
      <c r="M35" s="21">
        <f t="shared" si="1"/>
        <v>4.9609000000000005</v>
      </c>
      <c r="N35" s="21">
        <f t="shared" si="4"/>
        <v>14.174000000000001</v>
      </c>
    </row>
    <row r="36" spans="1:14" x14ac:dyDescent="0.3">
      <c r="A36" s="72">
        <f t="shared" si="3"/>
        <v>33</v>
      </c>
      <c r="B36" s="64">
        <v>14</v>
      </c>
      <c r="C36" s="73" t="s">
        <v>279</v>
      </c>
      <c r="D36" s="64" t="s">
        <v>288</v>
      </c>
      <c r="E36" s="74">
        <v>7838</v>
      </c>
      <c r="F36" s="64">
        <v>7838</v>
      </c>
      <c r="G36" s="74">
        <v>10</v>
      </c>
      <c r="H36" s="64">
        <v>10</v>
      </c>
      <c r="I36" s="64">
        <v>100</v>
      </c>
      <c r="J36" s="65">
        <v>7.0000000000000007E-2</v>
      </c>
      <c r="K36" s="21">
        <f t="shared" si="2"/>
        <v>7.8380000000000001</v>
      </c>
      <c r="L36" s="21">
        <f t="shared" si="0"/>
        <v>2.3513999999999999</v>
      </c>
      <c r="M36" s="21">
        <f t="shared" si="1"/>
        <v>5.486600000000001</v>
      </c>
      <c r="N36" s="21">
        <f t="shared" si="4"/>
        <v>15.676</v>
      </c>
    </row>
    <row r="37" spans="1:14" x14ac:dyDescent="0.3">
      <c r="A37" s="72">
        <f t="shared" si="3"/>
        <v>34</v>
      </c>
      <c r="B37" s="64">
        <v>15</v>
      </c>
      <c r="C37" s="73" t="s">
        <v>289</v>
      </c>
      <c r="D37" s="64" t="s">
        <v>290</v>
      </c>
      <c r="E37" s="74">
        <v>1413</v>
      </c>
      <c r="F37" s="64">
        <v>1413</v>
      </c>
      <c r="G37" s="74">
        <v>10</v>
      </c>
      <c r="H37" s="64">
        <v>10</v>
      </c>
      <c r="I37" s="64">
        <v>100</v>
      </c>
      <c r="J37" s="65">
        <v>0.13</v>
      </c>
      <c r="K37" s="21">
        <f t="shared" si="2"/>
        <v>1.413</v>
      </c>
      <c r="L37" s="21">
        <f t="shared" si="0"/>
        <v>0.4239</v>
      </c>
      <c r="M37" s="21">
        <f t="shared" si="1"/>
        <v>1.8369</v>
      </c>
      <c r="N37" s="21">
        <f t="shared" si="4"/>
        <v>3.6738</v>
      </c>
    </row>
    <row r="38" spans="1:14" x14ac:dyDescent="0.3">
      <c r="A38" s="72">
        <f t="shared" si="3"/>
        <v>35</v>
      </c>
      <c r="B38" s="64">
        <v>15</v>
      </c>
      <c r="C38" s="73" t="s">
        <v>289</v>
      </c>
      <c r="D38" s="64" t="s">
        <v>291</v>
      </c>
      <c r="E38" s="74">
        <v>1697</v>
      </c>
      <c r="F38" s="64">
        <v>1697</v>
      </c>
      <c r="G38" s="74">
        <v>10</v>
      </c>
      <c r="H38" s="64">
        <v>10</v>
      </c>
      <c r="I38" s="64">
        <v>100</v>
      </c>
      <c r="J38" s="65">
        <v>0.13</v>
      </c>
      <c r="K38" s="21">
        <f t="shared" si="2"/>
        <v>1.6970000000000001</v>
      </c>
      <c r="L38" s="21">
        <f t="shared" si="0"/>
        <v>0.5091</v>
      </c>
      <c r="M38" s="21">
        <f t="shared" si="1"/>
        <v>2.2061000000000002</v>
      </c>
      <c r="N38" s="21">
        <f t="shared" si="4"/>
        <v>4.4122000000000003</v>
      </c>
    </row>
    <row r="39" spans="1:14" x14ac:dyDescent="0.3">
      <c r="A39" s="72">
        <f t="shared" si="3"/>
        <v>36</v>
      </c>
      <c r="B39" s="64">
        <v>16</v>
      </c>
      <c r="C39" s="73" t="s">
        <v>292</v>
      </c>
      <c r="D39" s="64" t="s">
        <v>290</v>
      </c>
      <c r="E39" s="74">
        <v>2543</v>
      </c>
      <c r="F39" s="64">
        <v>2543</v>
      </c>
      <c r="G39" s="74">
        <v>10</v>
      </c>
      <c r="H39" s="64">
        <v>10</v>
      </c>
      <c r="I39" s="64">
        <v>100</v>
      </c>
      <c r="J39" s="65">
        <v>0.13</v>
      </c>
      <c r="K39" s="21">
        <f t="shared" si="2"/>
        <v>2.5430000000000001</v>
      </c>
      <c r="L39" s="21">
        <f t="shared" si="0"/>
        <v>0.76289999999999991</v>
      </c>
      <c r="M39" s="21">
        <f t="shared" si="1"/>
        <v>3.3059000000000003</v>
      </c>
      <c r="N39" s="21">
        <f t="shared" si="4"/>
        <v>6.6118000000000006</v>
      </c>
    </row>
    <row r="40" spans="1:14" x14ac:dyDescent="0.3">
      <c r="A40" s="72">
        <f t="shared" si="3"/>
        <v>37</v>
      </c>
      <c r="B40" s="64">
        <v>16</v>
      </c>
      <c r="C40" s="73" t="s">
        <v>292</v>
      </c>
      <c r="D40" s="64" t="s">
        <v>291</v>
      </c>
      <c r="E40" s="74">
        <v>3056</v>
      </c>
      <c r="F40" s="64">
        <v>3056</v>
      </c>
      <c r="G40" s="74">
        <v>10</v>
      </c>
      <c r="H40" s="64">
        <v>10</v>
      </c>
      <c r="I40" s="64">
        <v>100</v>
      </c>
      <c r="J40" s="65">
        <v>0.13</v>
      </c>
      <c r="K40" s="21">
        <f t="shared" si="2"/>
        <v>3.056</v>
      </c>
      <c r="L40" s="21">
        <f t="shared" si="0"/>
        <v>0.91679999999999995</v>
      </c>
      <c r="M40" s="21">
        <f t="shared" si="1"/>
        <v>3.9728000000000003</v>
      </c>
      <c r="N40" s="21">
        <f t="shared" si="4"/>
        <v>7.9456000000000007</v>
      </c>
    </row>
    <row r="41" spans="1:14" x14ac:dyDescent="0.3">
      <c r="A41" s="72">
        <f t="shared" si="3"/>
        <v>38</v>
      </c>
      <c r="B41" s="64">
        <v>17</v>
      </c>
      <c r="C41" s="73" t="s">
        <v>293</v>
      </c>
      <c r="D41" s="64" t="s">
        <v>294</v>
      </c>
      <c r="E41" s="74">
        <v>2226</v>
      </c>
      <c r="F41" s="64">
        <v>2226</v>
      </c>
      <c r="G41" s="74">
        <v>10</v>
      </c>
      <c r="H41" s="64">
        <v>10</v>
      </c>
      <c r="I41" s="64">
        <v>100</v>
      </c>
      <c r="J41" s="65">
        <v>7.0000000000000007E-2</v>
      </c>
      <c r="K41" s="21">
        <f t="shared" si="2"/>
        <v>2.226</v>
      </c>
      <c r="L41" s="21">
        <f t="shared" si="0"/>
        <v>0.66780000000000006</v>
      </c>
      <c r="M41" s="21">
        <f t="shared" si="1"/>
        <v>1.5582000000000003</v>
      </c>
      <c r="N41" s="21">
        <f t="shared" si="4"/>
        <v>4.452</v>
      </c>
    </row>
    <row r="42" spans="1:14" x14ac:dyDescent="0.3">
      <c r="A42" s="72">
        <f t="shared" si="3"/>
        <v>39</v>
      </c>
      <c r="B42" s="64">
        <v>17</v>
      </c>
      <c r="C42" s="73" t="s">
        <v>293</v>
      </c>
      <c r="D42" s="64" t="s">
        <v>295</v>
      </c>
      <c r="E42" s="74">
        <v>3198</v>
      </c>
      <c r="F42" s="64">
        <v>3198</v>
      </c>
      <c r="G42" s="74">
        <v>10</v>
      </c>
      <c r="H42" s="64">
        <v>10</v>
      </c>
      <c r="I42" s="64">
        <v>100</v>
      </c>
      <c r="J42" s="65">
        <v>7.0000000000000007E-2</v>
      </c>
      <c r="K42" s="21">
        <f t="shared" si="2"/>
        <v>3.198</v>
      </c>
      <c r="L42" s="21">
        <f t="shared" si="0"/>
        <v>0.95940000000000003</v>
      </c>
      <c r="M42" s="21">
        <f t="shared" si="1"/>
        <v>2.2385999999999999</v>
      </c>
      <c r="N42" s="21">
        <f t="shared" si="4"/>
        <v>6.3959999999999999</v>
      </c>
    </row>
    <row r="43" spans="1:14" x14ac:dyDescent="0.3">
      <c r="A43" s="72">
        <f t="shared" si="3"/>
        <v>40</v>
      </c>
      <c r="B43" s="64">
        <v>17</v>
      </c>
      <c r="C43" s="73" t="s">
        <v>293</v>
      </c>
      <c r="D43" s="64" t="s">
        <v>296</v>
      </c>
      <c r="E43" s="74">
        <v>4169</v>
      </c>
      <c r="F43" s="64">
        <v>4169</v>
      </c>
      <c r="G43" s="74">
        <v>10</v>
      </c>
      <c r="H43" s="64">
        <v>10</v>
      </c>
      <c r="I43" s="64">
        <v>100</v>
      </c>
      <c r="J43" s="65">
        <v>7.0000000000000007E-2</v>
      </c>
      <c r="K43" s="21">
        <f t="shared" si="2"/>
        <v>4.1689999999999996</v>
      </c>
      <c r="L43" s="21">
        <f t="shared" si="0"/>
        <v>1.2506999999999999</v>
      </c>
      <c r="M43" s="21">
        <f t="shared" si="1"/>
        <v>2.9183000000000003</v>
      </c>
      <c r="N43" s="21">
        <f t="shared" si="4"/>
        <v>8.338000000000001</v>
      </c>
    </row>
    <row r="44" spans="1:14" x14ac:dyDescent="0.3">
      <c r="A44" s="72">
        <f t="shared" si="3"/>
        <v>41</v>
      </c>
      <c r="B44" s="64">
        <v>18</v>
      </c>
      <c r="C44" s="73" t="s">
        <v>297</v>
      </c>
      <c r="D44" s="64" t="s">
        <v>298</v>
      </c>
      <c r="E44" s="74">
        <v>1326</v>
      </c>
      <c r="F44" s="64">
        <v>1326</v>
      </c>
      <c r="G44" s="74">
        <v>10</v>
      </c>
      <c r="H44" s="64">
        <v>10</v>
      </c>
      <c r="I44" s="64">
        <v>100</v>
      </c>
      <c r="J44" s="65">
        <v>7.0000000000000007E-2</v>
      </c>
      <c r="K44" s="21">
        <f t="shared" si="2"/>
        <v>1.3260000000000001</v>
      </c>
      <c r="L44" s="21">
        <f t="shared" si="0"/>
        <v>0.39779999999999999</v>
      </c>
      <c r="M44" s="21">
        <f t="shared" si="1"/>
        <v>0.92820000000000003</v>
      </c>
      <c r="N44" s="21">
        <f t="shared" si="4"/>
        <v>2.6520000000000001</v>
      </c>
    </row>
    <row r="45" spans="1:14" x14ac:dyDescent="0.3">
      <c r="A45" s="72">
        <f t="shared" si="3"/>
        <v>42</v>
      </c>
      <c r="B45" s="64">
        <v>18</v>
      </c>
      <c r="C45" s="73" t="s">
        <v>297</v>
      </c>
      <c r="D45" s="64" t="s">
        <v>299</v>
      </c>
      <c r="E45" s="74">
        <v>1480</v>
      </c>
      <c r="F45" s="64">
        <v>1480</v>
      </c>
      <c r="G45" s="74">
        <v>10</v>
      </c>
      <c r="H45" s="64">
        <v>10</v>
      </c>
      <c r="I45" s="64">
        <v>100</v>
      </c>
      <c r="J45" s="65">
        <v>7.0000000000000007E-2</v>
      </c>
      <c r="K45" s="21">
        <f t="shared" si="2"/>
        <v>1.48</v>
      </c>
      <c r="L45" s="21">
        <f t="shared" si="0"/>
        <v>0.44400000000000001</v>
      </c>
      <c r="M45" s="21">
        <f t="shared" si="1"/>
        <v>1.036</v>
      </c>
      <c r="N45" s="21">
        <f t="shared" si="4"/>
        <v>2.96</v>
      </c>
    </row>
    <row r="46" spans="1:14" x14ac:dyDescent="0.3">
      <c r="A46" s="72">
        <f t="shared" si="3"/>
        <v>43</v>
      </c>
      <c r="B46" s="64">
        <v>19</v>
      </c>
      <c r="C46" s="73" t="s">
        <v>300</v>
      </c>
      <c r="D46" s="64" t="s">
        <v>301</v>
      </c>
      <c r="E46" s="74">
        <v>2147</v>
      </c>
      <c r="F46" s="64">
        <v>2147</v>
      </c>
      <c r="G46" s="74">
        <v>10</v>
      </c>
      <c r="H46" s="64">
        <v>10</v>
      </c>
      <c r="I46" s="64">
        <v>100</v>
      </c>
      <c r="J46" s="65">
        <v>0.05</v>
      </c>
      <c r="K46" s="21">
        <f t="shared" si="2"/>
        <v>2.1469999999999998</v>
      </c>
      <c r="L46" s="21">
        <f t="shared" si="0"/>
        <v>0.64409999999999989</v>
      </c>
      <c r="M46" s="21">
        <f t="shared" si="1"/>
        <v>1.0735000000000001</v>
      </c>
      <c r="N46" s="21">
        <f t="shared" si="4"/>
        <v>3.8645999999999998</v>
      </c>
    </row>
    <row r="47" spans="1:14" x14ac:dyDescent="0.3">
      <c r="A47" s="72">
        <f t="shared" si="3"/>
        <v>44</v>
      </c>
      <c r="B47" s="64">
        <v>19</v>
      </c>
      <c r="C47" s="73" t="s">
        <v>300</v>
      </c>
      <c r="D47" s="64" t="s">
        <v>302</v>
      </c>
      <c r="E47" s="74">
        <v>2393</v>
      </c>
      <c r="F47" s="64">
        <v>2393</v>
      </c>
      <c r="G47" s="74">
        <v>10</v>
      </c>
      <c r="H47" s="64">
        <v>10</v>
      </c>
      <c r="I47" s="64">
        <v>100</v>
      </c>
      <c r="J47" s="65">
        <v>0.05</v>
      </c>
      <c r="K47" s="21">
        <f t="shared" si="2"/>
        <v>2.3929999999999998</v>
      </c>
      <c r="L47" s="21">
        <f t="shared" si="0"/>
        <v>0.71789999999999998</v>
      </c>
      <c r="M47" s="21">
        <f t="shared" si="1"/>
        <v>1.1965000000000001</v>
      </c>
      <c r="N47" s="21">
        <f t="shared" si="4"/>
        <v>4.3074000000000003</v>
      </c>
    </row>
    <row r="48" spans="1:14" x14ac:dyDescent="0.3">
      <c r="A48" s="72">
        <f t="shared" si="3"/>
        <v>45</v>
      </c>
      <c r="B48" s="64">
        <v>19</v>
      </c>
      <c r="C48" s="73" t="s">
        <v>300</v>
      </c>
      <c r="D48" s="64" t="s">
        <v>303</v>
      </c>
      <c r="E48" s="74">
        <v>2639</v>
      </c>
      <c r="F48" s="64">
        <v>2630</v>
      </c>
      <c r="G48" s="74">
        <v>10</v>
      </c>
      <c r="H48" s="64">
        <v>10</v>
      </c>
      <c r="I48" s="64">
        <v>100</v>
      </c>
      <c r="J48" s="65">
        <v>0.05</v>
      </c>
      <c r="K48" s="21">
        <f t="shared" si="2"/>
        <v>2.63</v>
      </c>
      <c r="L48" s="21">
        <f t="shared" si="0"/>
        <v>0.78900000000000003</v>
      </c>
      <c r="M48" s="21">
        <f t="shared" si="1"/>
        <v>1.3149999999999999</v>
      </c>
      <c r="N48" s="21">
        <f t="shared" si="4"/>
        <v>4.734</v>
      </c>
    </row>
    <row r="49" spans="1:14" x14ac:dyDescent="0.3">
      <c r="A49" s="72">
        <f t="shared" si="3"/>
        <v>46</v>
      </c>
      <c r="B49" s="64">
        <v>19</v>
      </c>
      <c r="C49" s="73" t="s">
        <v>300</v>
      </c>
      <c r="D49" s="64" t="s">
        <v>304</v>
      </c>
      <c r="E49" s="74">
        <v>2885</v>
      </c>
      <c r="F49" s="64">
        <v>2885</v>
      </c>
      <c r="G49" s="74">
        <v>10</v>
      </c>
      <c r="H49" s="64">
        <v>10</v>
      </c>
      <c r="I49" s="64">
        <v>100</v>
      </c>
      <c r="J49" s="65">
        <v>0.05</v>
      </c>
      <c r="K49" s="21">
        <f t="shared" si="2"/>
        <v>2.8849999999999998</v>
      </c>
      <c r="L49" s="21">
        <f t="shared" si="0"/>
        <v>0.86550000000000005</v>
      </c>
      <c r="M49" s="21">
        <f t="shared" si="1"/>
        <v>1.4424999999999999</v>
      </c>
      <c r="N49" s="21">
        <f t="shared" si="4"/>
        <v>5.1929999999999996</v>
      </c>
    </row>
    <row r="50" spans="1:14" x14ac:dyDescent="0.3">
      <c r="A50" s="72">
        <f t="shared" si="3"/>
        <v>47</v>
      </c>
      <c r="B50" s="64">
        <v>20</v>
      </c>
      <c r="C50" s="73" t="s">
        <v>305</v>
      </c>
      <c r="D50" s="64" t="s">
        <v>303</v>
      </c>
      <c r="E50" s="74">
        <v>6128</v>
      </c>
      <c r="F50" s="64">
        <v>6128</v>
      </c>
      <c r="G50" s="74">
        <v>10</v>
      </c>
      <c r="H50" s="64">
        <v>10</v>
      </c>
      <c r="I50" s="64">
        <v>100</v>
      </c>
      <c r="J50" s="65">
        <v>3.5000000000000003E-2</v>
      </c>
      <c r="K50" s="21">
        <f t="shared" si="2"/>
        <v>6.1280000000000001</v>
      </c>
      <c r="L50" s="21">
        <f t="shared" si="0"/>
        <v>1.8384</v>
      </c>
      <c r="M50" s="21">
        <f t="shared" si="1"/>
        <v>2.1448</v>
      </c>
      <c r="N50" s="21">
        <f t="shared" si="4"/>
        <v>10.1112</v>
      </c>
    </row>
    <row r="51" spans="1:14" x14ac:dyDescent="0.3">
      <c r="A51" s="72">
        <f t="shared" si="3"/>
        <v>48</v>
      </c>
      <c r="B51" s="64">
        <v>20</v>
      </c>
      <c r="C51" s="73" t="s">
        <v>305</v>
      </c>
      <c r="D51" s="64" t="s">
        <v>306</v>
      </c>
      <c r="E51" s="74">
        <v>6920</v>
      </c>
      <c r="F51" s="64">
        <v>6920</v>
      </c>
      <c r="G51" s="74">
        <v>10</v>
      </c>
      <c r="H51" s="64">
        <v>10</v>
      </c>
      <c r="I51" s="64">
        <v>100</v>
      </c>
      <c r="J51" s="65">
        <v>3.5000000000000003E-2</v>
      </c>
      <c r="K51" s="21">
        <f t="shared" si="2"/>
        <v>6.92</v>
      </c>
      <c r="L51" s="21">
        <f t="shared" si="0"/>
        <v>2.0760000000000001</v>
      </c>
      <c r="M51" s="21">
        <f t="shared" si="1"/>
        <v>2.4220000000000002</v>
      </c>
      <c r="N51" s="21">
        <f t="shared" si="4"/>
        <v>11.418000000000001</v>
      </c>
    </row>
    <row r="52" spans="1:14" x14ac:dyDescent="0.3">
      <c r="A52" s="72">
        <f t="shared" si="3"/>
        <v>49</v>
      </c>
      <c r="B52" s="64">
        <v>20</v>
      </c>
      <c r="C52" s="73" t="s">
        <v>305</v>
      </c>
      <c r="D52" s="64" t="s">
        <v>307</v>
      </c>
      <c r="E52" s="74">
        <v>7337</v>
      </c>
      <c r="F52" s="64">
        <v>7337</v>
      </c>
      <c r="G52" s="74">
        <v>10</v>
      </c>
      <c r="H52" s="64">
        <v>10</v>
      </c>
      <c r="I52" s="64">
        <v>100</v>
      </c>
      <c r="J52" s="65">
        <v>3.5000000000000003E-2</v>
      </c>
      <c r="K52" s="21">
        <f t="shared" si="2"/>
        <v>7.3369999999999997</v>
      </c>
      <c r="L52" s="21">
        <f t="shared" si="0"/>
        <v>2.2010999999999998</v>
      </c>
      <c r="M52" s="21">
        <f t="shared" si="1"/>
        <v>2.5679500000000002</v>
      </c>
      <c r="N52" s="21">
        <f t="shared" si="4"/>
        <v>12.10605</v>
      </c>
    </row>
    <row r="53" spans="1:14" x14ac:dyDescent="0.3">
      <c r="A53" s="72">
        <f t="shared" si="3"/>
        <v>50</v>
      </c>
      <c r="B53" s="64">
        <v>20</v>
      </c>
      <c r="C53" s="73" t="s">
        <v>305</v>
      </c>
      <c r="D53" s="64" t="s">
        <v>308</v>
      </c>
      <c r="E53" s="74">
        <v>8129</v>
      </c>
      <c r="F53" s="64">
        <v>8129</v>
      </c>
      <c r="G53" s="74">
        <v>10</v>
      </c>
      <c r="H53" s="64">
        <v>10</v>
      </c>
      <c r="I53" s="64">
        <v>100</v>
      </c>
      <c r="J53" s="65">
        <v>3.5000000000000003E-2</v>
      </c>
      <c r="K53" s="21">
        <f t="shared" si="2"/>
        <v>8.1289999999999996</v>
      </c>
      <c r="L53" s="21">
        <f t="shared" si="0"/>
        <v>2.4387000000000003</v>
      </c>
      <c r="M53" s="21">
        <f t="shared" si="1"/>
        <v>2.8451500000000003</v>
      </c>
      <c r="N53" s="21">
        <f t="shared" si="4"/>
        <v>13.412850000000001</v>
      </c>
    </row>
    <row r="54" spans="1:14" x14ac:dyDescent="0.3">
      <c r="A54" s="72">
        <f t="shared" si="3"/>
        <v>51</v>
      </c>
      <c r="B54" s="64">
        <v>20</v>
      </c>
      <c r="C54" s="73" t="s">
        <v>305</v>
      </c>
      <c r="D54" s="64" t="s">
        <v>309</v>
      </c>
      <c r="E54" s="74">
        <v>8922</v>
      </c>
      <c r="F54" s="64">
        <v>8922</v>
      </c>
      <c r="G54" s="74">
        <v>10</v>
      </c>
      <c r="H54" s="64">
        <v>10</v>
      </c>
      <c r="I54" s="64">
        <v>100</v>
      </c>
      <c r="J54" s="65">
        <v>3.5000000000000003E-2</v>
      </c>
      <c r="K54" s="21">
        <f t="shared" si="2"/>
        <v>8.9220000000000006</v>
      </c>
      <c r="L54" s="21">
        <f t="shared" si="0"/>
        <v>2.6765999999999996</v>
      </c>
      <c r="M54" s="21">
        <f t="shared" si="1"/>
        <v>3.1227000000000005</v>
      </c>
      <c r="N54" s="21">
        <f t="shared" si="4"/>
        <v>14.721300000000001</v>
      </c>
    </row>
    <row r="55" spans="1:14" x14ac:dyDescent="0.3">
      <c r="A55" s="72">
        <f t="shared" si="3"/>
        <v>52</v>
      </c>
      <c r="B55" s="64">
        <v>20</v>
      </c>
      <c r="C55" s="73" t="s">
        <v>305</v>
      </c>
      <c r="D55" s="64" t="s">
        <v>310</v>
      </c>
      <c r="E55" s="74">
        <v>9755</v>
      </c>
      <c r="F55" s="64">
        <v>9755</v>
      </c>
      <c r="G55" s="74">
        <v>10</v>
      </c>
      <c r="H55" s="64">
        <v>10</v>
      </c>
      <c r="I55" s="64">
        <v>100</v>
      </c>
      <c r="J55" s="65">
        <v>3.5000000000000003E-2</v>
      </c>
      <c r="K55" s="21">
        <f t="shared" si="2"/>
        <v>9.7550000000000008</v>
      </c>
      <c r="L55" s="21">
        <f t="shared" si="0"/>
        <v>2.9264999999999999</v>
      </c>
      <c r="M55" s="21">
        <f t="shared" si="1"/>
        <v>3.41425</v>
      </c>
      <c r="N55" s="21">
        <f t="shared" si="4"/>
        <v>16.095749999999999</v>
      </c>
    </row>
    <row r="56" spans="1:14" x14ac:dyDescent="0.3">
      <c r="A56" s="72">
        <f t="shared" si="3"/>
        <v>53</v>
      </c>
      <c r="B56" s="64">
        <v>20</v>
      </c>
      <c r="C56" s="73" t="s">
        <v>305</v>
      </c>
      <c r="D56" s="64" t="s">
        <v>311</v>
      </c>
      <c r="E56" s="74">
        <v>11340</v>
      </c>
      <c r="F56" s="64">
        <v>11340</v>
      </c>
      <c r="G56" s="74">
        <v>10</v>
      </c>
      <c r="H56" s="64">
        <v>10</v>
      </c>
      <c r="I56" s="64">
        <v>100</v>
      </c>
      <c r="J56" s="65">
        <v>3.5000000000000003E-2</v>
      </c>
      <c r="K56" s="21">
        <f t="shared" si="2"/>
        <v>11.34</v>
      </c>
      <c r="L56" s="21">
        <f t="shared" si="0"/>
        <v>3.4020000000000001</v>
      </c>
      <c r="M56" s="21">
        <f t="shared" si="1"/>
        <v>3.9690000000000003</v>
      </c>
      <c r="N56" s="21">
        <f t="shared" si="4"/>
        <v>18.711000000000002</v>
      </c>
    </row>
    <row r="57" spans="1:14" x14ac:dyDescent="0.3">
      <c r="A57" s="72">
        <f t="shared" si="3"/>
        <v>54</v>
      </c>
      <c r="B57" s="64">
        <v>20</v>
      </c>
      <c r="C57" s="73" t="s">
        <v>305</v>
      </c>
      <c r="D57" s="64" t="s">
        <v>312</v>
      </c>
      <c r="E57" s="74">
        <v>12132</v>
      </c>
      <c r="F57" s="64">
        <v>12132</v>
      </c>
      <c r="G57" s="74">
        <v>10</v>
      </c>
      <c r="H57" s="64">
        <v>10</v>
      </c>
      <c r="I57" s="64">
        <v>100</v>
      </c>
      <c r="J57" s="65">
        <v>3.5000000000000003E-2</v>
      </c>
      <c r="K57" s="21">
        <f t="shared" si="2"/>
        <v>12.132</v>
      </c>
      <c r="L57" s="21">
        <f t="shared" si="0"/>
        <v>3.6395999999999997</v>
      </c>
      <c r="M57" s="21">
        <f t="shared" si="1"/>
        <v>4.2462000000000009</v>
      </c>
      <c r="N57" s="21">
        <f t="shared" si="4"/>
        <v>20.017800000000001</v>
      </c>
    </row>
    <row r="58" spans="1:14" x14ac:dyDescent="0.3">
      <c r="A58" s="72">
        <f t="shared" si="3"/>
        <v>55</v>
      </c>
      <c r="B58" s="64">
        <v>21</v>
      </c>
      <c r="C58" s="73" t="s">
        <v>313</v>
      </c>
      <c r="D58" s="64" t="s">
        <v>314</v>
      </c>
      <c r="E58" s="74">
        <v>805</v>
      </c>
      <c r="F58" s="64">
        <v>805</v>
      </c>
      <c r="G58" s="74">
        <v>10</v>
      </c>
      <c r="H58" s="64">
        <v>10</v>
      </c>
      <c r="I58" s="64">
        <v>100</v>
      </c>
      <c r="J58" s="65">
        <v>0.12</v>
      </c>
      <c r="K58" s="21">
        <f t="shared" si="2"/>
        <v>0.80500000000000005</v>
      </c>
      <c r="L58" s="21">
        <f t="shared" si="0"/>
        <v>0.24150000000000002</v>
      </c>
      <c r="M58" s="21">
        <f t="shared" si="1"/>
        <v>0.96599999999999997</v>
      </c>
      <c r="N58" s="21">
        <f t="shared" si="4"/>
        <v>2.0125000000000002</v>
      </c>
    </row>
    <row r="59" spans="1:14" x14ac:dyDescent="0.3">
      <c r="A59" s="72">
        <f t="shared" si="3"/>
        <v>56</v>
      </c>
      <c r="B59" s="64">
        <v>21</v>
      </c>
      <c r="C59" s="73" t="s">
        <v>313</v>
      </c>
      <c r="D59" s="64" t="s">
        <v>315</v>
      </c>
      <c r="E59" s="74">
        <v>1201</v>
      </c>
      <c r="F59" s="64">
        <v>1201</v>
      </c>
      <c r="G59" s="74">
        <v>10</v>
      </c>
      <c r="H59" s="64">
        <v>10</v>
      </c>
      <c r="I59" s="64">
        <v>100</v>
      </c>
      <c r="J59" s="65">
        <v>0.12</v>
      </c>
      <c r="K59" s="21">
        <f t="shared" si="2"/>
        <v>1.2010000000000001</v>
      </c>
      <c r="L59" s="21">
        <f t="shared" si="0"/>
        <v>0.36029999999999995</v>
      </c>
      <c r="M59" s="21">
        <f t="shared" si="1"/>
        <v>1.4412</v>
      </c>
      <c r="N59" s="21">
        <f t="shared" si="4"/>
        <v>3.0025000000000004</v>
      </c>
    </row>
    <row r="60" spans="1:14" x14ac:dyDescent="0.3">
      <c r="A60" s="72">
        <f t="shared" si="3"/>
        <v>57</v>
      </c>
      <c r="B60" s="64">
        <v>21</v>
      </c>
      <c r="C60" s="73" t="s">
        <v>313</v>
      </c>
      <c r="D60" s="64" t="s">
        <v>316</v>
      </c>
      <c r="E60" s="74">
        <v>1593</v>
      </c>
      <c r="F60" s="64">
        <v>1593</v>
      </c>
      <c r="G60" s="74">
        <v>10</v>
      </c>
      <c r="H60" s="64">
        <v>10</v>
      </c>
      <c r="I60" s="64">
        <v>100</v>
      </c>
      <c r="J60" s="65">
        <v>0.12</v>
      </c>
      <c r="K60" s="21">
        <f t="shared" si="2"/>
        <v>1.593</v>
      </c>
      <c r="L60" s="21">
        <f t="shared" si="0"/>
        <v>0.47789999999999999</v>
      </c>
      <c r="M60" s="21">
        <f t="shared" si="1"/>
        <v>1.9116</v>
      </c>
      <c r="N60" s="21">
        <f t="shared" si="4"/>
        <v>3.9824999999999999</v>
      </c>
    </row>
    <row r="61" spans="1:14" x14ac:dyDescent="0.3">
      <c r="A61" s="72">
        <f t="shared" si="3"/>
        <v>58</v>
      </c>
      <c r="B61" s="64">
        <v>21</v>
      </c>
      <c r="C61" s="73" t="s">
        <v>313</v>
      </c>
      <c r="D61" s="64" t="s">
        <v>290</v>
      </c>
      <c r="E61" s="74">
        <v>2376</v>
      </c>
      <c r="F61" s="64">
        <v>2376</v>
      </c>
      <c r="G61" s="74">
        <v>10</v>
      </c>
      <c r="H61" s="64">
        <v>10</v>
      </c>
      <c r="I61" s="64">
        <v>100</v>
      </c>
      <c r="J61" s="65">
        <v>0.12</v>
      </c>
      <c r="K61" s="21">
        <f t="shared" si="2"/>
        <v>2.3759999999999999</v>
      </c>
      <c r="L61" s="21">
        <f t="shared" si="0"/>
        <v>0.71279999999999999</v>
      </c>
      <c r="M61" s="21">
        <f t="shared" si="1"/>
        <v>2.8512</v>
      </c>
      <c r="N61" s="21">
        <f t="shared" si="4"/>
        <v>5.9399999999999995</v>
      </c>
    </row>
    <row r="62" spans="1:14" x14ac:dyDescent="0.3">
      <c r="A62" s="72">
        <f t="shared" si="3"/>
        <v>59</v>
      </c>
      <c r="B62" s="64">
        <v>21</v>
      </c>
      <c r="C62" s="73" t="s">
        <v>313</v>
      </c>
      <c r="D62" s="64" t="s">
        <v>291</v>
      </c>
      <c r="E62" s="74">
        <v>3164</v>
      </c>
      <c r="F62" s="64">
        <v>3164</v>
      </c>
      <c r="G62" s="74">
        <v>10</v>
      </c>
      <c r="H62" s="64">
        <v>10</v>
      </c>
      <c r="I62" s="64">
        <v>100</v>
      </c>
      <c r="J62" s="65">
        <v>0.12</v>
      </c>
      <c r="K62" s="21">
        <f t="shared" si="2"/>
        <v>3.1640000000000001</v>
      </c>
      <c r="L62" s="21">
        <f t="shared" si="0"/>
        <v>0.94919999999999993</v>
      </c>
      <c r="M62" s="21">
        <f t="shared" si="1"/>
        <v>3.7968000000000002</v>
      </c>
      <c r="N62" s="21">
        <f t="shared" si="4"/>
        <v>7.91</v>
      </c>
    </row>
    <row r="63" spans="1:14" x14ac:dyDescent="0.3">
      <c r="A63" s="72">
        <f t="shared" si="3"/>
        <v>60</v>
      </c>
      <c r="B63" s="64">
        <v>21</v>
      </c>
      <c r="C63" s="73" t="s">
        <v>313</v>
      </c>
      <c r="D63" s="64" t="s">
        <v>317</v>
      </c>
      <c r="E63" s="74">
        <v>3948</v>
      </c>
      <c r="F63" s="64">
        <v>3948</v>
      </c>
      <c r="G63" s="74">
        <v>10</v>
      </c>
      <c r="H63" s="64">
        <v>10</v>
      </c>
      <c r="I63" s="64">
        <v>100</v>
      </c>
      <c r="J63" s="65">
        <v>0.12</v>
      </c>
      <c r="K63" s="21">
        <f t="shared" si="2"/>
        <v>3.948</v>
      </c>
      <c r="L63" s="21">
        <f t="shared" si="0"/>
        <v>1.1843999999999999</v>
      </c>
      <c r="M63" s="21">
        <f t="shared" si="1"/>
        <v>4.7375999999999996</v>
      </c>
      <c r="N63" s="21">
        <f t="shared" si="4"/>
        <v>9.8699999999999992</v>
      </c>
    </row>
    <row r="64" spans="1:14" x14ac:dyDescent="0.3">
      <c r="A64" s="72">
        <f t="shared" si="3"/>
        <v>61</v>
      </c>
      <c r="B64" s="64">
        <v>22</v>
      </c>
      <c r="C64" s="73" t="s">
        <v>318</v>
      </c>
      <c r="D64" s="64" t="s">
        <v>319</v>
      </c>
      <c r="E64" s="74">
        <v>2468</v>
      </c>
      <c r="F64" s="64">
        <v>2468</v>
      </c>
      <c r="G64" s="74">
        <v>10</v>
      </c>
      <c r="H64" s="64">
        <v>10</v>
      </c>
      <c r="I64" s="64">
        <v>100</v>
      </c>
      <c r="J64" s="65">
        <v>0.09</v>
      </c>
      <c r="K64" s="21">
        <f t="shared" si="2"/>
        <v>2.468</v>
      </c>
      <c r="L64" s="21">
        <f t="shared" si="0"/>
        <v>0.74039999999999995</v>
      </c>
      <c r="M64" s="21">
        <f t="shared" si="1"/>
        <v>2.2212000000000001</v>
      </c>
      <c r="N64" s="21">
        <f t="shared" si="4"/>
        <v>5.4296000000000006</v>
      </c>
    </row>
    <row r="65" spans="1:14" x14ac:dyDescent="0.3">
      <c r="A65" s="72">
        <f t="shared" si="3"/>
        <v>62</v>
      </c>
      <c r="B65" s="64">
        <v>22</v>
      </c>
      <c r="C65" s="73" t="s">
        <v>318</v>
      </c>
      <c r="D65" s="64" t="s">
        <v>320</v>
      </c>
      <c r="E65" s="74">
        <v>3252</v>
      </c>
      <c r="F65" s="64">
        <v>3252</v>
      </c>
      <c r="G65" s="74">
        <v>10</v>
      </c>
      <c r="H65" s="64">
        <v>10</v>
      </c>
      <c r="I65" s="64">
        <v>100</v>
      </c>
      <c r="J65" s="65">
        <v>0.09</v>
      </c>
      <c r="K65" s="21">
        <f t="shared" si="2"/>
        <v>3.2519999999999998</v>
      </c>
      <c r="L65" s="21">
        <f t="shared" si="0"/>
        <v>0.97560000000000002</v>
      </c>
      <c r="M65" s="21">
        <f t="shared" si="1"/>
        <v>2.9268000000000001</v>
      </c>
      <c r="N65" s="21">
        <f t="shared" si="4"/>
        <v>7.1543999999999999</v>
      </c>
    </row>
    <row r="66" spans="1:14" x14ac:dyDescent="0.3">
      <c r="A66" s="72">
        <f t="shared" si="3"/>
        <v>63</v>
      </c>
      <c r="B66" s="64">
        <v>22</v>
      </c>
      <c r="C66" s="73" t="s">
        <v>318</v>
      </c>
      <c r="D66" s="64" t="s">
        <v>321</v>
      </c>
      <c r="E66" s="74">
        <v>4002</v>
      </c>
      <c r="F66" s="64">
        <v>4002</v>
      </c>
      <c r="G66" s="74">
        <v>10</v>
      </c>
      <c r="H66" s="64">
        <v>10</v>
      </c>
      <c r="I66" s="64">
        <v>100</v>
      </c>
      <c r="J66" s="65">
        <v>0.09</v>
      </c>
      <c r="K66" s="21">
        <f t="shared" si="2"/>
        <v>4.0019999999999998</v>
      </c>
      <c r="L66" s="21">
        <f t="shared" si="0"/>
        <v>1.2006000000000001</v>
      </c>
      <c r="M66" s="21">
        <f t="shared" si="1"/>
        <v>3.6017999999999999</v>
      </c>
      <c r="N66" s="21">
        <f t="shared" si="4"/>
        <v>8.8044000000000011</v>
      </c>
    </row>
    <row r="67" spans="1:14" x14ac:dyDescent="0.3">
      <c r="A67" s="72">
        <f t="shared" si="3"/>
        <v>64</v>
      </c>
      <c r="B67" s="64">
        <v>22</v>
      </c>
      <c r="C67" s="73" t="s">
        <v>318</v>
      </c>
      <c r="D67" s="64" t="s">
        <v>322</v>
      </c>
      <c r="E67" s="74">
        <v>4711</v>
      </c>
      <c r="F67" s="64">
        <v>4711</v>
      </c>
      <c r="G67" s="74">
        <v>10</v>
      </c>
      <c r="H67" s="64">
        <v>10</v>
      </c>
      <c r="I67" s="64">
        <v>100</v>
      </c>
      <c r="J67" s="65">
        <v>0.09</v>
      </c>
      <c r="K67" s="21">
        <f t="shared" si="2"/>
        <v>4.7110000000000003</v>
      </c>
      <c r="L67" s="21">
        <f t="shared" si="0"/>
        <v>1.4133</v>
      </c>
      <c r="M67" s="21">
        <f t="shared" si="1"/>
        <v>4.2399000000000004</v>
      </c>
      <c r="N67" s="21">
        <f t="shared" si="4"/>
        <v>10.3642</v>
      </c>
    </row>
    <row r="68" spans="1:14" x14ac:dyDescent="0.3">
      <c r="A68" s="72">
        <f t="shared" si="3"/>
        <v>65</v>
      </c>
      <c r="B68" s="64">
        <v>23</v>
      </c>
      <c r="C68" s="73" t="s">
        <v>323</v>
      </c>
      <c r="D68" s="64" t="s">
        <v>319</v>
      </c>
      <c r="E68" s="74">
        <v>684</v>
      </c>
      <c r="F68" s="64">
        <v>684</v>
      </c>
      <c r="G68" s="74">
        <v>10</v>
      </c>
      <c r="H68" s="64">
        <v>10</v>
      </c>
      <c r="I68" s="64">
        <v>100</v>
      </c>
      <c r="J68" s="65">
        <v>7.0000000000000007E-2</v>
      </c>
      <c r="K68" s="21">
        <f t="shared" si="2"/>
        <v>0.68400000000000005</v>
      </c>
      <c r="L68" s="21">
        <f t="shared" ref="L68:L131" si="5">+(F68/I68)*($L$1/100)</f>
        <v>0.20519999999999999</v>
      </c>
      <c r="M68" s="21">
        <f t="shared" ref="M68:M131" si="6">+F68*J68/100</f>
        <v>0.4788</v>
      </c>
      <c r="N68" s="21">
        <f t="shared" si="4"/>
        <v>1.3679999999999999</v>
      </c>
    </row>
    <row r="69" spans="1:14" x14ac:dyDescent="0.3">
      <c r="A69" s="72">
        <f t="shared" si="3"/>
        <v>66</v>
      </c>
      <c r="B69" s="64">
        <v>23</v>
      </c>
      <c r="C69" s="73" t="s">
        <v>323</v>
      </c>
      <c r="D69" s="64" t="s">
        <v>320</v>
      </c>
      <c r="E69" s="74">
        <v>881</v>
      </c>
      <c r="F69" s="64">
        <v>881</v>
      </c>
      <c r="G69" s="74">
        <v>10</v>
      </c>
      <c r="H69" s="64">
        <v>10</v>
      </c>
      <c r="I69" s="64">
        <v>100</v>
      </c>
      <c r="J69" s="65">
        <v>7.0000000000000007E-2</v>
      </c>
      <c r="K69" s="21">
        <f t="shared" ref="K69:K132" si="7">+F69/(H69*I69)</f>
        <v>0.88100000000000001</v>
      </c>
      <c r="L69" s="21">
        <f t="shared" si="5"/>
        <v>0.26429999999999998</v>
      </c>
      <c r="M69" s="21">
        <f t="shared" si="6"/>
        <v>0.61670000000000014</v>
      </c>
      <c r="N69" s="21">
        <f t="shared" si="4"/>
        <v>1.762</v>
      </c>
    </row>
    <row r="70" spans="1:14" x14ac:dyDescent="0.3">
      <c r="A70" s="72">
        <f t="shared" ref="A70:A133" si="8">+A69+1</f>
        <v>67</v>
      </c>
      <c r="B70" s="64">
        <v>23</v>
      </c>
      <c r="C70" s="73" t="s">
        <v>323</v>
      </c>
      <c r="D70" s="64" t="s">
        <v>321</v>
      </c>
      <c r="E70" s="74">
        <v>1074</v>
      </c>
      <c r="F70" s="64">
        <v>1074</v>
      </c>
      <c r="G70" s="74">
        <v>10</v>
      </c>
      <c r="H70" s="64">
        <v>10</v>
      </c>
      <c r="I70" s="64">
        <v>100</v>
      </c>
      <c r="J70" s="65">
        <v>7.0000000000000007E-2</v>
      </c>
      <c r="K70" s="21">
        <f t="shared" si="7"/>
        <v>1.0740000000000001</v>
      </c>
      <c r="L70" s="21">
        <f t="shared" si="5"/>
        <v>0.32219999999999999</v>
      </c>
      <c r="M70" s="21">
        <f t="shared" si="6"/>
        <v>0.75180000000000002</v>
      </c>
      <c r="N70" s="21">
        <f t="shared" ref="N70:N133" si="9">+K70+L70+M70</f>
        <v>2.1480000000000001</v>
      </c>
    </row>
    <row r="71" spans="1:14" x14ac:dyDescent="0.3">
      <c r="A71" s="72">
        <f t="shared" si="8"/>
        <v>68</v>
      </c>
      <c r="B71" s="64">
        <v>23</v>
      </c>
      <c r="C71" s="73" t="s">
        <v>323</v>
      </c>
      <c r="D71" s="64" t="s">
        <v>322</v>
      </c>
      <c r="E71" s="74">
        <v>1271</v>
      </c>
      <c r="F71" s="64">
        <v>1271</v>
      </c>
      <c r="G71" s="74">
        <v>10</v>
      </c>
      <c r="H71" s="64">
        <v>10</v>
      </c>
      <c r="I71" s="64">
        <v>100</v>
      </c>
      <c r="J71" s="65">
        <v>7.0000000000000007E-2</v>
      </c>
      <c r="K71" s="21">
        <f t="shared" si="7"/>
        <v>1.2709999999999999</v>
      </c>
      <c r="L71" s="21">
        <f t="shared" si="5"/>
        <v>0.38130000000000003</v>
      </c>
      <c r="M71" s="21">
        <f t="shared" si="6"/>
        <v>0.88970000000000016</v>
      </c>
      <c r="N71" s="21">
        <f t="shared" si="9"/>
        <v>2.5419999999999998</v>
      </c>
    </row>
    <row r="72" spans="1:14" x14ac:dyDescent="0.3">
      <c r="A72" s="72">
        <f t="shared" si="8"/>
        <v>69</v>
      </c>
      <c r="B72" s="64">
        <v>23</v>
      </c>
      <c r="C72" s="73" t="s">
        <v>323</v>
      </c>
      <c r="D72" s="64" t="s">
        <v>324</v>
      </c>
      <c r="E72" s="74">
        <v>1464</v>
      </c>
      <c r="F72" s="64">
        <v>1464</v>
      </c>
      <c r="G72" s="74">
        <v>10</v>
      </c>
      <c r="H72" s="64">
        <v>10</v>
      </c>
      <c r="I72" s="64">
        <v>100</v>
      </c>
      <c r="J72" s="65">
        <v>7.0000000000000007E-2</v>
      </c>
      <c r="K72" s="21">
        <f t="shared" si="7"/>
        <v>1.464</v>
      </c>
      <c r="L72" s="21">
        <f t="shared" si="5"/>
        <v>0.43919999999999998</v>
      </c>
      <c r="M72" s="21">
        <f t="shared" si="6"/>
        <v>1.0247999999999999</v>
      </c>
      <c r="N72" s="21">
        <f t="shared" si="9"/>
        <v>2.9279999999999999</v>
      </c>
    </row>
    <row r="73" spans="1:14" x14ac:dyDescent="0.3">
      <c r="A73" s="72">
        <f t="shared" si="8"/>
        <v>70</v>
      </c>
      <c r="B73" s="64">
        <v>23</v>
      </c>
      <c r="C73" s="73" t="s">
        <v>323</v>
      </c>
      <c r="D73" s="64" t="s">
        <v>325</v>
      </c>
      <c r="E73" s="74">
        <v>1660</v>
      </c>
      <c r="F73" s="64">
        <v>1660</v>
      </c>
      <c r="G73" s="74">
        <v>10</v>
      </c>
      <c r="H73" s="64">
        <v>10</v>
      </c>
      <c r="I73" s="64">
        <v>100</v>
      </c>
      <c r="J73" s="65">
        <v>7.0000000000000007E-2</v>
      </c>
      <c r="K73" s="21">
        <f t="shared" si="7"/>
        <v>1.66</v>
      </c>
      <c r="L73" s="21">
        <f t="shared" si="5"/>
        <v>0.498</v>
      </c>
      <c r="M73" s="21">
        <f t="shared" si="6"/>
        <v>1.1620000000000001</v>
      </c>
      <c r="N73" s="21">
        <f t="shared" si="9"/>
        <v>3.3200000000000003</v>
      </c>
    </row>
    <row r="74" spans="1:14" x14ac:dyDescent="0.3">
      <c r="A74" s="72">
        <f t="shared" si="8"/>
        <v>71</v>
      </c>
      <c r="B74" s="64">
        <v>23</v>
      </c>
      <c r="C74" s="73" t="s">
        <v>323</v>
      </c>
      <c r="D74" s="64" t="s">
        <v>326</v>
      </c>
      <c r="E74" s="74">
        <v>1854</v>
      </c>
      <c r="F74" s="64">
        <v>1854</v>
      </c>
      <c r="G74" s="74">
        <v>10</v>
      </c>
      <c r="H74" s="64">
        <v>10</v>
      </c>
      <c r="I74" s="64">
        <v>100</v>
      </c>
      <c r="J74" s="65">
        <v>7.0000000000000007E-2</v>
      </c>
      <c r="K74" s="21">
        <f t="shared" si="7"/>
        <v>1.8540000000000001</v>
      </c>
      <c r="L74" s="21">
        <f t="shared" si="5"/>
        <v>0.55619999999999992</v>
      </c>
      <c r="M74" s="21">
        <f t="shared" si="6"/>
        <v>1.2978000000000001</v>
      </c>
      <c r="N74" s="21">
        <f t="shared" si="9"/>
        <v>3.7080000000000002</v>
      </c>
    </row>
    <row r="75" spans="1:14" x14ac:dyDescent="0.3">
      <c r="A75" s="72">
        <f t="shared" si="8"/>
        <v>72</v>
      </c>
      <c r="B75" s="64">
        <v>23</v>
      </c>
      <c r="C75" s="73" t="s">
        <v>323</v>
      </c>
      <c r="D75" s="64" t="s">
        <v>327</v>
      </c>
      <c r="E75" s="74">
        <v>2050</v>
      </c>
      <c r="F75" s="64">
        <v>2050</v>
      </c>
      <c r="G75" s="74">
        <v>10</v>
      </c>
      <c r="H75" s="64">
        <v>10</v>
      </c>
      <c r="I75" s="64">
        <v>100</v>
      </c>
      <c r="J75" s="65">
        <v>7.0000000000000007E-2</v>
      </c>
      <c r="K75" s="21">
        <f t="shared" si="7"/>
        <v>2.0499999999999998</v>
      </c>
      <c r="L75" s="21">
        <f t="shared" si="5"/>
        <v>0.61499999999999999</v>
      </c>
      <c r="M75" s="21">
        <f t="shared" si="6"/>
        <v>1.4350000000000001</v>
      </c>
      <c r="N75" s="21">
        <f t="shared" si="9"/>
        <v>4.0999999999999996</v>
      </c>
    </row>
    <row r="76" spans="1:14" x14ac:dyDescent="0.3">
      <c r="A76" s="72">
        <f t="shared" si="8"/>
        <v>73</v>
      </c>
      <c r="B76" s="64">
        <v>24</v>
      </c>
      <c r="C76" s="73" t="s">
        <v>328</v>
      </c>
      <c r="D76" s="64" t="s">
        <v>319</v>
      </c>
      <c r="E76" s="74">
        <v>900</v>
      </c>
      <c r="F76" s="64">
        <v>900</v>
      </c>
      <c r="G76" s="74">
        <v>10</v>
      </c>
      <c r="H76" s="64">
        <v>10</v>
      </c>
      <c r="I76" s="64">
        <v>100</v>
      </c>
      <c r="J76" s="65">
        <v>7.0000000000000007E-2</v>
      </c>
      <c r="K76" s="21">
        <f t="shared" si="7"/>
        <v>0.9</v>
      </c>
      <c r="L76" s="21">
        <f t="shared" si="5"/>
        <v>0.27</v>
      </c>
      <c r="M76" s="21">
        <f t="shared" si="6"/>
        <v>0.63000000000000012</v>
      </c>
      <c r="N76" s="21">
        <f t="shared" si="9"/>
        <v>1.8</v>
      </c>
    </row>
    <row r="77" spans="1:14" x14ac:dyDescent="0.3">
      <c r="A77" s="72">
        <f t="shared" si="8"/>
        <v>74</v>
      </c>
      <c r="B77" s="64">
        <v>24</v>
      </c>
      <c r="C77" s="73" t="s">
        <v>328</v>
      </c>
      <c r="D77" s="64" t="s">
        <v>320</v>
      </c>
      <c r="E77" s="74">
        <v>1159</v>
      </c>
      <c r="F77" s="64">
        <v>1159</v>
      </c>
      <c r="G77" s="74">
        <v>10</v>
      </c>
      <c r="H77" s="64">
        <v>10</v>
      </c>
      <c r="I77" s="64">
        <v>100</v>
      </c>
      <c r="J77" s="65">
        <v>7.0000000000000007E-2</v>
      </c>
      <c r="K77" s="21">
        <f t="shared" si="7"/>
        <v>1.159</v>
      </c>
      <c r="L77" s="21">
        <f t="shared" si="5"/>
        <v>0.34770000000000001</v>
      </c>
      <c r="M77" s="21">
        <f t="shared" si="6"/>
        <v>0.81130000000000013</v>
      </c>
      <c r="N77" s="21">
        <f t="shared" si="9"/>
        <v>2.3180000000000001</v>
      </c>
    </row>
    <row r="78" spans="1:14" x14ac:dyDescent="0.3">
      <c r="A78" s="72">
        <f t="shared" si="8"/>
        <v>75</v>
      </c>
      <c r="B78" s="64">
        <v>24</v>
      </c>
      <c r="C78" s="73" t="s">
        <v>328</v>
      </c>
      <c r="D78" s="64" t="s">
        <v>321</v>
      </c>
      <c r="E78" s="74">
        <v>1413</v>
      </c>
      <c r="F78" s="64">
        <v>1413</v>
      </c>
      <c r="G78" s="74">
        <v>10</v>
      </c>
      <c r="H78" s="64">
        <v>10</v>
      </c>
      <c r="I78" s="64">
        <v>100</v>
      </c>
      <c r="J78" s="65">
        <v>7.0000000000000007E-2</v>
      </c>
      <c r="K78" s="21">
        <f t="shared" si="7"/>
        <v>1.413</v>
      </c>
      <c r="L78" s="21">
        <f t="shared" si="5"/>
        <v>0.4239</v>
      </c>
      <c r="M78" s="21">
        <f t="shared" si="6"/>
        <v>0.98910000000000009</v>
      </c>
      <c r="N78" s="21">
        <f t="shared" si="9"/>
        <v>2.8260000000000001</v>
      </c>
    </row>
    <row r="79" spans="1:14" x14ac:dyDescent="0.3">
      <c r="A79" s="72">
        <f t="shared" si="8"/>
        <v>76</v>
      </c>
      <c r="B79" s="64">
        <v>24</v>
      </c>
      <c r="C79" s="73" t="s">
        <v>328</v>
      </c>
      <c r="D79" s="64" t="s">
        <v>322</v>
      </c>
      <c r="E79" s="74">
        <v>1672</v>
      </c>
      <c r="F79" s="64">
        <v>1672</v>
      </c>
      <c r="G79" s="74">
        <v>10</v>
      </c>
      <c r="H79" s="64">
        <v>10</v>
      </c>
      <c r="I79" s="64">
        <v>100</v>
      </c>
      <c r="J79" s="65">
        <v>7.0000000000000007E-2</v>
      </c>
      <c r="K79" s="21">
        <f t="shared" si="7"/>
        <v>1.6719999999999999</v>
      </c>
      <c r="L79" s="21">
        <f t="shared" si="5"/>
        <v>0.50159999999999993</v>
      </c>
      <c r="M79" s="21">
        <f t="shared" si="6"/>
        <v>1.1704000000000001</v>
      </c>
      <c r="N79" s="21">
        <f t="shared" si="9"/>
        <v>3.3440000000000003</v>
      </c>
    </row>
    <row r="80" spans="1:14" x14ac:dyDescent="0.3">
      <c r="A80" s="72">
        <f t="shared" si="8"/>
        <v>77</v>
      </c>
      <c r="B80" s="64">
        <v>24</v>
      </c>
      <c r="C80" s="73" t="s">
        <v>328</v>
      </c>
      <c r="D80" s="64" t="s">
        <v>324</v>
      </c>
      <c r="E80" s="74">
        <v>1926</v>
      </c>
      <c r="F80" s="64">
        <v>1926</v>
      </c>
      <c r="G80" s="74">
        <v>10</v>
      </c>
      <c r="H80" s="64">
        <v>10</v>
      </c>
      <c r="I80" s="64">
        <v>100</v>
      </c>
      <c r="J80" s="65">
        <v>7.0000000000000007E-2</v>
      </c>
      <c r="K80" s="21">
        <f t="shared" si="7"/>
        <v>1.9259999999999999</v>
      </c>
      <c r="L80" s="21">
        <f t="shared" si="5"/>
        <v>0.57779999999999998</v>
      </c>
      <c r="M80" s="21">
        <f t="shared" si="6"/>
        <v>1.3482000000000003</v>
      </c>
      <c r="N80" s="21">
        <f t="shared" si="9"/>
        <v>3.8520000000000003</v>
      </c>
    </row>
    <row r="81" spans="1:14" x14ac:dyDescent="0.3">
      <c r="A81" s="72">
        <f t="shared" si="8"/>
        <v>78</v>
      </c>
      <c r="B81" s="64">
        <v>24</v>
      </c>
      <c r="C81" s="73" t="s">
        <v>328</v>
      </c>
      <c r="D81" s="64" t="s">
        <v>325</v>
      </c>
      <c r="E81" s="74">
        <v>2185</v>
      </c>
      <c r="F81" s="64">
        <v>2185</v>
      </c>
      <c r="G81" s="74">
        <v>10</v>
      </c>
      <c r="H81" s="64">
        <v>10</v>
      </c>
      <c r="I81" s="64">
        <v>100</v>
      </c>
      <c r="J81" s="65">
        <v>7.0000000000000007E-2</v>
      </c>
      <c r="K81" s="21">
        <f t="shared" si="7"/>
        <v>2.1850000000000001</v>
      </c>
      <c r="L81" s="21">
        <f t="shared" si="5"/>
        <v>0.65549999999999997</v>
      </c>
      <c r="M81" s="21">
        <f t="shared" si="6"/>
        <v>1.5295000000000001</v>
      </c>
      <c r="N81" s="21">
        <f t="shared" si="9"/>
        <v>4.37</v>
      </c>
    </row>
    <row r="82" spans="1:14" x14ac:dyDescent="0.3">
      <c r="A82" s="72">
        <f t="shared" si="8"/>
        <v>79</v>
      </c>
      <c r="B82" s="64">
        <v>24</v>
      </c>
      <c r="C82" s="73" t="s">
        <v>328</v>
      </c>
      <c r="D82" s="64" t="s">
        <v>326</v>
      </c>
      <c r="E82" s="74">
        <v>2439</v>
      </c>
      <c r="F82" s="64">
        <v>2439</v>
      </c>
      <c r="G82" s="74">
        <v>10</v>
      </c>
      <c r="H82" s="64">
        <v>10</v>
      </c>
      <c r="I82" s="64">
        <v>100</v>
      </c>
      <c r="J82" s="65">
        <v>7.0000000000000007E-2</v>
      </c>
      <c r="K82" s="21">
        <f t="shared" si="7"/>
        <v>2.4390000000000001</v>
      </c>
      <c r="L82" s="21">
        <f t="shared" si="5"/>
        <v>0.73170000000000002</v>
      </c>
      <c r="M82" s="21">
        <f t="shared" si="6"/>
        <v>1.7073000000000003</v>
      </c>
      <c r="N82" s="21">
        <f t="shared" si="9"/>
        <v>4.8780000000000001</v>
      </c>
    </row>
    <row r="83" spans="1:14" x14ac:dyDescent="0.3">
      <c r="A83" s="72">
        <f t="shared" si="8"/>
        <v>80</v>
      </c>
      <c r="B83" s="64">
        <v>24</v>
      </c>
      <c r="C83" s="73" t="s">
        <v>328</v>
      </c>
      <c r="D83" s="64" t="s">
        <v>327</v>
      </c>
      <c r="E83" s="74">
        <v>2697</v>
      </c>
      <c r="F83" s="64">
        <v>2697</v>
      </c>
      <c r="G83" s="74">
        <v>10</v>
      </c>
      <c r="H83" s="64">
        <v>10</v>
      </c>
      <c r="I83" s="64">
        <v>100</v>
      </c>
      <c r="J83" s="65">
        <v>7.0000000000000007E-2</v>
      </c>
      <c r="K83" s="21">
        <f t="shared" si="7"/>
        <v>2.6970000000000001</v>
      </c>
      <c r="L83" s="21">
        <f t="shared" si="5"/>
        <v>0.80909999999999993</v>
      </c>
      <c r="M83" s="21">
        <f t="shared" si="6"/>
        <v>1.8879000000000001</v>
      </c>
      <c r="N83" s="21">
        <f t="shared" si="9"/>
        <v>5.3940000000000001</v>
      </c>
    </row>
    <row r="84" spans="1:14" x14ac:dyDescent="0.3">
      <c r="A84" s="72">
        <f t="shared" si="8"/>
        <v>81</v>
      </c>
      <c r="B84" s="64">
        <v>25</v>
      </c>
      <c r="C84" s="73" t="s">
        <v>329</v>
      </c>
      <c r="D84" s="64" t="s">
        <v>330</v>
      </c>
      <c r="E84" s="74">
        <v>1680</v>
      </c>
      <c r="F84" s="64">
        <v>1680</v>
      </c>
      <c r="G84" s="74">
        <v>10</v>
      </c>
      <c r="H84" s="64">
        <v>10</v>
      </c>
      <c r="I84" s="64">
        <v>100</v>
      </c>
      <c r="J84" s="65">
        <v>7.0000000000000007E-2</v>
      </c>
      <c r="K84" s="21">
        <f t="shared" si="7"/>
        <v>1.68</v>
      </c>
      <c r="L84" s="21">
        <f t="shared" si="5"/>
        <v>0.504</v>
      </c>
      <c r="M84" s="21">
        <f t="shared" si="6"/>
        <v>1.1760000000000002</v>
      </c>
      <c r="N84" s="21">
        <f t="shared" si="9"/>
        <v>3.3600000000000003</v>
      </c>
    </row>
    <row r="85" spans="1:14" x14ac:dyDescent="0.3">
      <c r="A85" s="72">
        <f t="shared" si="8"/>
        <v>82</v>
      </c>
      <c r="B85" s="64">
        <v>25</v>
      </c>
      <c r="C85" s="73" t="s">
        <v>329</v>
      </c>
      <c r="D85" s="64" t="s">
        <v>331</v>
      </c>
      <c r="E85" s="74">
        <v>1959</v>
      </c>
      <c r="F85" s="64">
        <v>1959</v>
      </c>
      <c r="G85" s="74">
        <v>10</v>
      </c>
      <c r="H85" s="64">
        <v>10</v>
      </c>
      <c r="I85" s="64">
        <v>100</v>
      </c>
      <c r="J85" s="65">
        <v>7.0000000000000007E-2</v>
      </c>
      <c r="K85" s="21">
        <f t="shared" si="7"/>
        <v>1.9590000000000001</v>
      </c>
      <c r="L85" s="21">
        <f t="shared" si="5"/>
        <v>0.5877</v>
      </c>
      <c r="M85" s="21">
        <f t="shared" si="6"/>
        <v>1.3713000000000002</v>
      </c>
      <c r="N85" s="21">
        <f t="shared" si="9"/>
        <v>3.9180000000000001</v>
      </c>
    </row>
    <row r="86" spans="1:14" x14ac:dyDescent="0.3">
      <c r="A86" s="72">
        <f t="shared" si="8"/>
        <v>83</v>
      </c>
      <c r="B86" s="64">
        <v>25</v>
      </c>
      <c r="C86" s="73" t="s">
        <v>329</v>
      </c>
      <c r="D86" s="64" t="s">
        <v>332</v>
      </c>
      <c r="E86" s="74">
        <v>2314</v>
      </c>
      <c r="F86" s="64">
        <v>2314</v>
      </c>
      <c r="G86" s="74">
        <v>10</v>
      </c>
      <c r="H86" s="64">
        <v>10</v>
      </c>
      <c r="I86" s="64">
        <v>100</v>
      </c>
      <c r="J86" s="65">
        <v>7.0000000000000007E-2</v>
      </c>
      <c r="K86" s="21">
        <f t="shared" si="7"/>
        <v>2.3140000000000001</v>
      </c>
      <c r="L86" s="21">
        <f t="shared" si="5"/>
        <v>0.69420000000000004</v>
      </c>
      <c r="M86" s="21">
        <f t="shared" si="6"/>
        <v>1.6198000000000001</v>
      </c>
      <c r="N86" s="21">
        <f t="shared" si="9"/>
        <v>4.6280000000000001</v>
      </c>
    </row>
    <row r="87" spans="1:14" x14ac:dyDescent="0.3">
      <c r="A87" s="72">
        <f t="shared" si="8"/>
        <v>84</v>
      </c>
      <c r="B87" s="64">
        <v>25</v>
      </c>
      <c r="C87" s="73" t="s">
        <v>329</v>
      </c>
      <c r="D87" s="64" t="s">
        <v>333</v>
      </c>
      <c r="E87" s="74">
        <v>2952</v>
      </c>
      <c r="F87" s="64">
        <v>2950</v>
      </c>
      <c r="G87" s="74">
        <v>10</v>
      </c>
      <c r="H87" s="64">
        <v>10</v>
      </c>
      <c r="I87" s="64">
        <v>100</v>
      </c>
      <c r="J87" s="65">
        <v>7.0000000000000007E-2</v>
      </c>
      <c r="K87" s="21">
        <f t="shared" si="7"/>
        <v>2.95</v>
      </c>
      <c r="L87" s="21">
        <f t="shared" si="5"/>
        <v>0.88500000000000001</v>
      </c>
      <c r="M87" s="21">
        <f t="shared" si="6"/>
        <v>2.0650000000000004</v>
      </c>
      <c r="N87" s="21">
        <f t="shared" si="9"/>
        <v>5.9</v>
      </c>
    </row>
    <row r="88" spans="1:14" x14ac:dyDescent="0.3">
      <c r="A88" s="72">
        <f t="shared" si="8"/>
        <v>85</v>
      </c>
      <c r="B88" s="64">
        <v>25</v>
      </c>
      <c r="C88" s="73" t="s">
        <v>329</v>
      </c>
      <c r="D88" s="64" t="s">
        <v>334</v>
      </c>
      <c r="E88" s="74">
        <v>3589</v>
      </c>
      <c r="F88" s="64">
        <v>3589</v>
      </c>
      <c r="G88" s="74">
        <v>10</v>
      </c>
      <c r="H88" s="64">
        <v>10</v>
      </c>
      <c r="I88" s="64">
        <v>100</v>
      </c>
      <c r="J88" s="65">
        <v>7.0000000000000007E-2</v>
      </c>
      <c r="K88" s="21">
        <f t="shared" si="7"/>
        <v>3.589</v>
      </c>
      <c r="L88" s="21">
        <f t="shared" si="5"/>
        <v>1.0767</v>
      </c>
      <c r="M88" s="21">
        <f t="shared" si="6"/>
        <v>2.5123000000000002</v>
      </c>
      <c r="N88" s="21">
        <f t="shared" si="9"/>
        <v>7.1780000000000008</v>
      </c>
    </row>
    <row r="89" spans="1:14" x14ac:dyDescent="0.3">
      <c r="A89" s="72">
        <f t="shared" si="8"/>
        <v>86</v>
      </c>
      <c r="B89" s="64">
        <v>25</v>
      </c>
      <c r="C89" s="73" t="s">
        <v>329</v>
      </c>
      <c r="D89" s="64" t="s">
        <v>335</v>
      </c>
      <c r="E89" s="74">
        <v>4211</v>
      </c>
      <c r="F89" s="64">
        <v>4211</v>
      </c>
      <c r="G89" s="74">
        <v>10</v>
      </c>
      <c r="H89" s="64">
        <v>10</v>
      </c>
      <c r="I89" s="64">
        <v>100</v>
      </c>
      <c r="J89" s="65">
        <v>7.0000000000000007E-2</v>
      </c>
      <c r="K89" s="21">
        <f t="shared" si="7"/>
        <v>4.2110000000000003</v>
      </c>
      <c r="L89" s="21">
        <f t="shared" si="5"/>
        <v>1.2632999999999999</v>
      </c>
      <c r="M89" s="21">
        <f t="shared" si="6"/>
        <v>2.9477000000000002</v>
      </c>
      <c r="N89" s="21">
        <f t="shared" si="9"/>
        <v>8.4220000000000006</v>
      </c>
    </row>
    <row r="90" spans="1:14" x14ac:dyDescent="0.3">
      <c r="A90" s="72">
        <f t="shared" si="8"/>
        <v>87</v>
      </c>
      <c r="B90" s="64">
        <v>25</v>
      </c>
      <c r="C90" s="73" t="s">
        <v>329</v>
      </c>
      <c r="D90" s="64" t="s">
        <v>336</v>
      </c>
      <c r="E90" s="74">
        <v>4878</v>
      </c>
      <c r="F90" s="64">
        <v>4878</v>
      </c>
      <c r="G90" s="74">
        <v>10</v>
      </c>
      <c r="H90" s="64">
        <v>10</v>
      </c>
      <c r="I90" s="64">
        <v>100</v>
      </c>
      <c r="J90" s="65">
        <v>7.0000000000000007E-2</v>
      </c>
      <c r="K90" s="21">
        <f t="shared" si="7"/>
        <v>4.8780000000000001</v>
      </c>
      <c r="L90" s="21">
        <f t="shared" si="5"/>
        <v>1.4634</v>
      </c>
      <c r="M90" s="21">
        <f t="shared" si="6"/>
        <v>3.4146000000000005</v>
      </c>
      <c r="N90" s="21">
        <f t="shared" si="9"/>
        <v>9.7560000000000002</v>
      </c>
    </row>
    <row r="91" spans="1:14" x14ac:dyDescent="0.3">
      <c r="A91" s="72">
        <f t="shared" si="8"/>
        <v>88</v>
      </c>
      <c r="B91" s="64">
        <v>26</v>
      </c>
      <c r="C91" s="73" t="s">
        <v>337</v>
      </c>
      <c r="D91" s="64" t="s">
        <v>338</v>
      </c>
      <c r="E91" s="74">
        <v>1644</v>
      </c>
      <c r="F91" s="64">
        <v>1644</v>
      </c>
      <c r="G91" s="74">
        <v>10</v>
      </c>
      <c r="H91" s="64">
        <v>10</v>
      </c>
      <c r="I91" s="64">
        <v>100</v>
      </c>
      <c r="J91" s="65">
        <v>0.05</v>
      </c>
      <c r="K91" s="21">
        <f t="shared" si="7"/>
        <v>1.6439999999999999</v>
      </c>
      <c r="L91" s="21">
        <f t="shared" si="5"/>
        <v>0.49320000000000003</v>
      </c>
      <c r="M91" s="21">
        <f t="shared" si="6"/>
        <v>0.82200000000000006</v>
      </c>
      <c r="N91" s="21">
        <f t="shared" si="9"/>
        <v>2.9592000000000001</v>
      </c>
    </row>
    <row r="92" spans="1:14" x14ac:dyDescent="0.3">
      <c r="A92" s="72">
        <f t="shared" si="8"/>
        <v>89</v>
      </c>
      <c r="B92" s="64">
        <v>26</v>
      </c>
      <c r="C92" s="73" t="s">
        <v>337</v>
      </c>
      <c r="D92" s="64" t="s">
        <v>339</v>
      </c>
      <c r="E92" s="74">
        <v>2082</v>
      </c>
      <c r="F92" s="64">
        <v>2082</v>
      </c>
      <c r="G92" s="74">
        <v>10</v>
      </c>
      <c r="H92" s="64">
        <v>10</v>
      </c>
      <c r="I92" s="64">
        <v>100</v>
      </c>
      <c r="J92" s="65">
        <v>0.05</v>
      </c>
      <c r="K92" s="21">
        <f t="shared" si="7"/>
        <v>2.0819999999999999</v>
      </c>
      <c r="L92" s="21">
        <f t="shared" si="5"/>
        <v>0.62459999999999993</v>
      </c>
      <c r="M92" s="21">
        <f t="shared" si="6"/>
        <v>1.0410000000000001</v>
      </c>
      <c r="N92" s="21">
        <f t="shared" si="9"/>
        <v>3.7476000000000003</v>
      </c>
    </row>
    <row r="93" spans="1:14" x14ac:dyDescent="0.3">
      <c r="A93" s="72">
        <f t="shared" si="8"/>
        <v>90</v>
      </c>
      <c r="B93" s="64">
        <v>26</v>
      </c>
      <c r="C93" s="73" t="s">
        <v>337</v>
      </c>
      <c r="D93" s="64" t="s">
        <v>340</v>
      </c>
      <c r="E93" s="74">
        <v>2557</v>
      </c>
      <c r="F93" s="64">
        <v>2557</v>
      </c>
      <c r="G93" s="74">
        <v>10</v>
      </c>
      <c r="H93" s="64">
        <v>10</v>
      </c>
      <c r="I93" s="64">
        <v>100</v>
      </c>
      <c r="J93" s="65">
        <v>0.05</v>
      </c>
      <c r="K93" s="21">
        <f t="shared" si="7"/>
        <v>2.5569999999999999</v>
      </c>
      <c r="L93" s="21">
        <f t="shared" si="5"/>
        <v>0.7671</v>
      </c>
      <c r="M93" s="21">
        <f t="shared" si="6"/>
        <v>1.2785000000000002</v>
      </c>
      <c r="N93" s="21">
        <f t="shared" si="9"/>
        <v>4.6026000000000007</v>
      </c>
    </row>
    <row r="94" spans="1:14" x14ac:dyDescent="0.3">
      <c r="A94" s="72">
        <f t="shared" si="8"/>
        <v>91</v>
      </c>
      <c r="B94" s="64">
        <v>26</v>
      </c>
      <c r="C94" s="73" t="s">
        <v>337</v>
      </c>
      <c r="D94" s="64" t="s">
        <v>341</v>
      </c>
      <c r="E94" s="74">
        <v>3032</v>
      </c>
      <c r="F94" s="64">
        <v>3032</v>
      </c>
      <c r="G94" s="74">
        <v>10</v>
      </c>
      <c r="H94" s="64">
        <v>10</v>
      </c>
      <c r="I94" s="64">
        <v>100</v>
      </c>
      <c r="J94" s="65">
        <v>0.05</v>
      </c>
      <c r="K94" s="21">
        <f t="shared" si="7"/>
        <v>3.032</v>
      </c>
      <c r="L94" s="21">
        <f t="shared" si="5"/>
        <v>0.90959999999999996</v>
      </c>
      <c r="M94" s="21">
        <f t="shared" si="6"/>
        <v>1.516</v>
      </c>
      <c r="N94" s="21">
        <f t="shared" si="9"/>
        <v>5.4576000000000002</v>
      </c>
    </row>
    <row r="95" spans="1:14" x14ac:dyDescent="0.3">
      <c r="A95" s="72">
        <f t="shared" si="8"/>
        <v>92</v>
      </c>
      <c r="B95" s="64">
        <v>26</v>
      </c>
      <c r="C95" s="73" t="s">
        <v>337</v>
      </c>
      <c r="D95" s="64" t="s">
        <v>342</v>
      </c>
      <c r="E95" s="74">
        <v>3507</v>
      </c>
      <c r="F95" s="64">
        <v>3507</v>
      </c>
      <c r="G95" s="74">
        <v>10</v>
      </c>
      <c r="H95" s="64">
        <v>10</v>
      </c>
      <c r="I95" s="64">
        <v>100</v>
      </c>
      <c r="J95" s="65">
        <v>0.05</v>
      </c>
      <c r="K95" s="21">
        <f t="shared" si="7"/>
        <v>3.5070000000000001</v>
      </c>
      <c r="L95" s="21">
        <f t="shared" si="5"/>
        <v>1.0521</v>
      </c>
      <c r="M95" s="21">
        <f t="shared" si="6"/>
        <v>1.7535000000000003</v>
      </c>
      <c r="N95" s="21">
        <f t="shared" si="9"/>
        <v>6.3125999999999998</v>
      </c>
    </row>
    <row r="96" spans="1:14" x14ac:dyDescent="0.3">
      <c r="A96" s="72">
        <f t="shared" si="8"/>
        <v>93</v>
      </c>
      <c r="B96" s="64">
        <v>27</v>
      </c>
      <c r="C96" s="73" t="s">
        <v>343</v>
      </c>
      <c r="D96" s="64" t="s">
        <v>338</v>
      </c>
      <c r="E96" s="74">
        <v>2448</v>
      </c>
      <c r="F96" s="64">
        <v>2448</v>
      </c>
      <c r="G96" s="74">
        <v>10</v>
      </c>
      <c r="H96" s="64">
        <v>10</v>
      </c>
      <c r="I96" s="64">
        <v>100</v>
      </c>
      <c r="J96" s="65">
        <v>0.05</v>
      </c>
      <c r="K96" s="21">
        <f t="shared" si="7"/>
        <v>2.448</v>
      </c>
      <c r="L96" s="21">
        <f t="shared" si="5"/>
        <v>0.73439999999999994</v>
      </c>
      <c r="M96" s="21">
        <f t="shared" si="6"/>
        <v>1.224</v>
      </c>
      <c r="N96" s="21">
        <f t="shared" si="9"/>
        <v>4.4063999999999997</v>
      </c>
    </row>
    <row r="97" spans="1:14" x14ac:dyDescent="0.3">
      <c r="A97" s="72">
        <f t="shared" si="8"/>
        <v>94</v>
      </c>
      <c r="B97" s="64">
        <v>27</v>
      </c>
      <c r="C97" s="73" t="s">
        <v>343</v>
      </c>
      <c r="D97" s="64" t="s">
        <v>339</v>
      </c>
      <c r="E97" s="74">
        <v>3142</v>
      </c>
      <c r="F97" s="64">
        <v>3142</v>
      </c>
      <c r="G97" s="74">
        <v>10</v>
      </c>
      <c r="H97" s="64">
        <v>10</v>
      </c>
      <c r="I97" s="64">
        <v>100</v>
      </c>
      <c r="J97" s="65">
        <v>0.05</v>
      </c>
      <c r="K97" s="21">
        <f t="shared" si="7"/>
        <v>3.1419999999999999</v>
      </c>
      <c r="L97" s="21">
        <f t="shared" si="5"/>
        <v>0.94259999999999999</v>
      </c>
      <c r="M97" s="21">
        <f t="shared" si="6"/>
        <v>1.5710000000000002</v>
      </c>
      <c r="N97" s="21">
        <f t="shared" si="9"/>
        <v>5.6555999999999997</v>
      </c>
    </row>
    <row r="98" spans="1:14" x14ac:dyDescent="0.3">
      <c r="A98" s="72">
        <f t="shared" si="8"/>
        <v>95</v>
      </c>
      <c r="B98" s="64">
        <v>27</v>
      </c>
      <c r="C98" s="73" t="s">
        <v>343</v>
      </c>
      <c r="D98" s="64" t="s">
        <v>340</v>
      </c>
      <c r="E98" s="74">
        <v>3872</v>
      </c>
      <c r="F98" s="64">
        <v>3872</v>
      </c>
      <c r="G98" s="74">
        <v>10</v>
      </c>
      <c r="H98" s="64">
        <v>10</v>
      </c>
      <c r="I98" s="64">
        <v>100</v>
      </c>
      <c r="J98" s="65">
        <v>0.05</v>
      </c>
      <c r="K98" s="21">
        <f t="shared" si="7"/>
        <v>3.8719999999999999</v>
      </c>
      <c r="L98" s="21">
        <f t="shared" si="5"/>
        <v>1.1616</v>
      </c>
      <c r="M98" s="21">
        <f t="shared" si="6"/>
        <v>1.9360000000000002</v>
      </c>
      <c r="N98" s="21">
        <f t="shared" si="9"/>
        <v>6.9695999999999998</v>
      </c>
    </row>
    <row r="99" spans="1:14" x14ac:dyDescent="0.3">
      <c r="A99" s="72">
        <f t="shared" si="8"/>
        <v>96</v>
      </c>
      <c r="B99" s="64">
        <v>27</v>
      </c>
      <c r="C99" s="73" t="s">
        <v>343</v>
      </c>
      <c r="D99" s="64" t="s">
        <v>341</v>
      </c>
      <c r="E99" s="74">
        <v>4566</v>
      </c>
      <c r="F99" s="64">
        <v>4566</v>
      </c>
      <c r="G99" s="74">
        <v>10</v>
      </c>
      <c r="H99" s="64">
        <v>10</v>
      </c>
      <c r="I99" s="64">
        <v>100</v>
      </c>
      <c r="J99" s="65">
        <v>0.05</v>
      </c>
      <c r="K99" s="21">
        <f t="shared" si="7"/>
        <v>4.5659999999999998</v>
      </c>
      <c r="L99" s="21">
        <f t="shared" si="5"/>
        <v>1.3697999999999999</v>
      </c>
      <c r="M99" s="21">
        <f t="shared" si="6"/>
        <v>2.2829999999999999</v>
      </c>
      <c r="N99" s="21">
        <f t="shared" si="9"/>
        <v>8.2187999999999999</v>
      </c>
    </row>
    <row r="100" spans="1:14" x14ac:dyDescent="0.3">
      <c r="A100" s="72">
        <f t="shared" si="8"/>
        <v>97</v>
      </c>
      <c r="B100" s="64">
        <v>27</v>
      </c>
      <c r="C100" s="73" t="s">
        <v>343</v>
      </c>
      <c r="D100" s="64" t="s">
        <v>342</v>
      </c>
      <c r="E100" s="74">
        <v>5260</v>
      </c>
      <c r="F100" s="64">
        <v>5260</v>
      </c>
      <c r="G100" s="74">
        <v>10</v>
      </c>
      <c r="H100" s="64">
        <v>10</v>
      </c>
      <c r="I100" s="64">
        <v>100</v>
      </c>
      <c r="J100" s="65">
        <v>0.05</v>
      </c>
      <c r="K100" s="21">
        <f t="shared" si="7"/>
        <v>5.26</v>
      </c>
      <c r="L100" s="21">
        <f t="shared" si="5"/>
        <v>1.5780000000000001</v>
      </c>
      <c r="M100" s="21">
        <f t="shared" si="6"/>
        <v>2.63</v>
      </c>
      <c r="N100" s="21">
        <f t="shared" si="9"/>
        <v>9.468</v>
      </c>
    </row>
    <row r="101" spans="1:14" x14ac:dyDescent="0.3">
      <c r="A101" s="72">
        <f t="shared" si="8"/>
        <v>98</v>
      </c>
      <c r="B101" s="64">
        <v>28</v>
      </c>
      <c r="C101" s="73" t="s">
        <v>344</v>
      </c>
      <c r="D101" s="64" t="s">
        <v>314</v>
      </c>
      <c r="E101" s="74">
        <v>588</v>
      </c>
      <c r="F101" s="64">
        <v>588</v>
      </c>
      <c r="G101" s="74">
        <v>10</v>
      </c>
      <c r="H101" s="64">
        <v>10</v>
      </c>
      <c r="I101" s="64">
        <v>100</v>
      </c>
      <c r="J101" s="65">
        <v>7.0000000000000007E-2</v>
      </c>
      <c r="K101" s="21">
        <f t="shared" si="7"/>
        <v>0.58799999999999997</v>
      </c>
      <c r="L101" s="21">
        <f t="shared" si="5"/>
        <v>0.1764</v>
      </c>
      <c r="M101" s="21">
        <f t="shared" si="6"/>
        <v>0.41160000000000002</v>
      </c>
      <c r="N101" s="21">
        <f t="shared" si="9"/>
        <v>1.1759999999999999</v>
      </c>
    </row>
    <row r="102" spans="1:14" x14ac:dyDescent="0.3">
      <c r="A102" s="72">
        <f t="shared" si="8"/>
        <v>99</v>
      </c>
      <c r="B102" s="64">
        <v>28</v>
      </c>
      <c r="C102" s="73" t="s">
        <v>344</v>
      </c>
      <c r="D102" s="64" t="s">
        <v>315</v>
      </c>
      <c r="E102" s="74">
        <v>850</v>
      </c>
      <c r="F102" s="64">
        <v>850</v>
      </c>
      <c r="G102" s="74">
        <v>10</v>
      </c>
      <c r="H102" s="64">
        <v>10</v>
      </c>
      <c r="I102" s="64">
        <v>100</v>
      </c>
      <c r="J102" s="65">
        <v>7.0000000000000007E-2</v>
      </c>
      <c r="K102" s="21">
        <f t="shared" si="7"/>
        <v>0.85</v>
      </c>
      <c r="L102" s="21">
        <f t="shared" si="5"/>
        <v>0.255</v>
      </c>
      <c r="M102" s="21">
        <f t="shared" si="6"/>
        <v>0.59500000000000008</v>
      </c>
      <c r="N102" s="21">
        <f t="shared" si="9"/>
        <v>1.7000000000000002</v>
      </c>
    </row>
    <row r="103" spans="1:14" x14ac:dyDescent="0.3">
      <c r="A103" s="72">
        <f t="shared" si="8"/>
        <v>100</v>
      </c>
      <c r="B103" s="64">
        <v>28</v>
      </c>
      <c r="C103" s="73" t="s">
        <v>344</v>
      </c>
      <c r="D103" s="64" t="s">
        <v>316</v>
      </c>
      <c r="E103" s="74">
        <v>1113</v>
      </c>
      <c r="F103" s="64">
        <v>1110</v>
      </c>
      <c r="G103" s="74">
        <v>10</v>
      </c>
      <c r="H103" s="64">
        <v>10</v>
      </c>
      <c r="I103" s="64">
        <v>100</v>
      </c>
      <c r="J103" s="65">
        <v>7.0000000000000007E-2</v>
      </c>
      <c r="K103" s="21">
        <f t="shared" si="7"/>
        <v>1.1100000000000001</v>
      </c>
      <c r="L103" s="21">
        <f t="shared" si="5"/>
        <v>0.33299999999999996</v>
      </c>
      <c r="M103" s="21">
        <f t="shared" si="6"/>
        <v>0.77700000000000002</v>
      </c>
      <c r="N103" s="21">
        <f t="shared" si="9"/>
        <v>2.2200000000000002</v>
      </c>
    </row>
    <row r="104" spans="1:14" x14ac:dyDescent="0.3">
      <c r="A104" s="72">
        <f t="shared" si="8"/>
        <v>101</v>
      </c>
      <c r="B104" s="64">
        <v>28</v>
      </c>
      <c r="C104" s="73" t="s">
        <v>344</v>
      </c>
      <c r="D104" s="64" t="s">
        <v>345</v>
      </c>
      <c r="E104" s="74">
        <v>1376</v>
      </c>
      <c r="F104" s="64">
        <v>1376</v>
      </c>
      <c r="G104" s="74">
        <v>10</v>
      </c>
      <c r="H104" s="64">
        <v>10</v>
      </c>
      <c r="I104" s="64">
        <v>100</v>
      </c>
      <c r="J104" s="65">
        <v>7.0000000000000007E-2</v>
      </c>
      <c r="K104" s="21">
        <f t="shared" si="7"/>
        <v>1.3759999999999999</v>
      </c>
      <c r="L104" s="21">
        <f t="shared" si="5"/>
        <v>0.4128</v>
      </c>
      <c r="M104" s="21">
        <f t="shared" si="6"/>
        <v>0.96320000000000006</v>
      </c>
      <c r="N104" s="21">
        <f t="shared" si="9"/>
        <v>2.7519999999999998</v>
      </c>
    </row>
    <row r="105" spans="1:14" x14ac:dyDescent="0.3">
      <c r="A105" s="72">
        <f t="shared" si="8"/>
        <v>102</v>
      </c>
      <c r="B105" s="64">
        <v>29</v>
      </c>
      <c r="C105" s="73" t="s">
        <v>346</v>
      </c>
      <c r="D105" s="64" t="s">
        <v>347</v>
      </c>
      <c r="E105" s="74">
        <v>1688</v>
      </c>
      <c r="F105" s="64">
        <v>1688</v>
      </c>
      <c r="G105" s="74">
        <v>10</v>
      </c>
      <c r="H105" s="64">
        <v>10</v>
      </c>
      <c r="I105" s="64">
        <v>100</v>
      </c>
      <c r="J105" s="65">
        <v>0.01</v>
      </c>
      <c r="K105" s="21">
        <f t="shared" si="7"/>
        <v>1.6879999999999999</v>
      </c>
      <c r="L105" s="21">
        <f t="shared" si="5"/>
        <v>0.50639999999999996</v>
      </c>
      <c r="M105" s="21">
        <f t="shared" si="6"/>
        <v>0.16879999999999998</v>
      </c>
      <c r="N105" s="21">
        <f t="shared" si="9"/>
        <v>2.3632</v>
      </c>
    </row>
    <row r="106" spans="1:14" x14ac:dyDescent="0.3">
      <c r="A106" s="72">
        <f t="shared" si="8"/>
        <v>103</v>
      </c>
      <c r="B106" s="64">
        <v>29</v>
      </c>
      <c r="C106" s="73" t="s">
        <v>346</v>
      </c>
      <c r="D106" s="64" t="s">
        <v>348</v>
      </c>
      <c r="E106" s="74">
        <v>2172</v>
      </c>
      <c r="F106" s="64">
        <v>2172</v>
      </c>
      <c r="G106" s="74">
        <v>10</v>
      </c>
      <c r="H106" s="64">
        <v>10</v>
      </c>
      <c r="I106" s="64">
        <v>100</v>
      </c>
      <c r="J106" s="65">
        <v>0.01</v>
      </c>
      <c r="K106" s="21">
        <f t="shared" si="7"/>
        <v>2.1720000000000002</v>
      </c>
      <c r="L106" s="21">
        <f t="shared" si="5"/>
        <v>0.65159999999999996</v>
      </c>
      <c r="M106" s="21">
        <f t="shared" si="6"/>
        <v>0.21719999999999998</v>
      </c>
      <c r="N106" s="21">
        <f t="shared" si="9"/>
        <v>3.0407999999999999</v>
      </c>
    </row>
    <row r="107" spans="1:14" x14ac:dyDescent="0.3">
      <c r="A107" s="72">
        <f t="shared" si="8"/>
        <v>104</v>
      </c>
      <c r="B107" s="64">
        <v>29</v>
      </c>
      <c r="C107" s="73" t="s">
        <v>346</v>
      </c>
      <c r="D107" s="64" t="s">
        <v>261</v>
      </c>
      <c r="E107" s="74">
        <v>2656</v>
      </c>
      <c r="F107" s="64">
        <v>2656</v>
      </c>
      <c r="G107" s="74">
        <v>10</v>
      </c>
      <c r="H107" s="64">
        <v>10</v>
      </c>
      <c r="I107" s="64">
        <v>100</v>
      </c>
      <c r="J107" s="65">
        <v>0.01</v>
      </c>
      <c r="K107" s="21">
        <f t="shared" si="7"/>
        <v>2.6560000000000001</v>
      </c>
      <c r="L107" s="21">
        <f t="shared" si="5"/>
        <v>0.79679999999999995</v>
      </c>
      <c r="M107" s="21">
        <f t="shared" si="6"/>
        <v>0.2656</v>
      </c>
      <c r="N107" s="21">
        <f t="shared" si="9"/>
        <v>3.7183999999999999</v>
      </c>
    </row>
    <row r="108" spans="1:14" x14ac:dyDescent="0.3">
      <c r="A108" s="72">
        <f t="shared" si="8"/>
        <v>105</v>
      </c>
      <c r="B108" s="64">
        <v>30</v>
      </c>
      <c r="C108" s="73" t="s">
        <v>349</v>
      </c>
      <c r="D108" s="64" t="s">
        <v>350</v>
      </c>
      <c r="E108" s="74">
        <v>1936</v>
      </c>
      <c r="F108" s="64">
        <v>1930</v>
      </c>
      <c r="G108" s="74">
        <v>10</v>
      </c>
      <c r="H108" s="64">
        <v>10</v>
      </c>
      <c r="I108" s="64">
        <v>100</v>
      </c>
      <c r="J108" s="65">
        <v>0.05</v>
      </c>
      <c r="K108" s="21">
        <f t="shared" si="7"/>
        <v>1.93</v>
      </c>
      <c r="L108" s="21">
        <f t="shared" si="5"/>
        <v>0.57899999999999996</v>
      </c>
      <c r="M108" s="21">
        <f t="shared" si="6"/>
        <v>0.96499999999999997</v>
      </c>
      <c r="N108" s="21">
        <f t="shared" si="9"/>
        <v>3.4739999999999998</v>
      </c>
    </row>
    <row r="109" spans="1:14" x14ac:dyDescent="0.3">
      <c r="A109" s="72">
        <f t="shared" si="8"/>
        <v>106</v>
      </c>
      <c r="B109" s="64">
        <v>31</v>
      </c>
      <c r="C109" s="73" t="s">
        <v>351</v>
      </c>
      <c r="D109" s="64" t="s">
        <v>314</v>
      </c>
      <c r="E109" s="74">
        <v>2849</v>
      </c>
      <c r="F109" s="64">
        <v>2849</v>
      </c>
      <c r="G109" s="74">
        <v>10</v>
      </c>
      <c r="H109" s="64">
        <v>10</v>
      </c>
      <c r="I109" s="64">
        <v>100</v>
      </c>
      <c r="J109" s="65">
        <v>0.05</v>
      </c>
      <c r="K109" s="21">
        <f t="shared" si="7"/>
        <v>2.8490000000000002</v>
      </c>
      <c r="L109" s="21">
        <f t="shared" si="5"/>
        <v>0.8546999999999999</v>
      </c>
      <c r="M109" s="21">
        <f t="shared" si="6"/>
        <v>1.4245000000000001</v>
      </c>
      <c r="N109" s="21">
        <f t="shared" si="9"/>
        <v>5.1281999999999996</v>
      </c>
    </row>
    <row r="110" spans="1:14" x14ac:dyDescent="0.3">
      <c r="A110" s="72">
        <f t="shared" si="8"/>
        <v>107</v>
      </c>
      <c r="B110" s="64">
        <v>32</v>
      </c>
      <c r="C110" s="73" t="s">
        <v>352</v>
      </c>
      <c r="D110" s="64" t="s">
        <v>353</v>
      </c>
      <c r="E110" s="74">
        <v>3105</v>
      </c>
      <c r="F110" s="64">
        <v>3105</v>
      </c>
      <c r="G110" s="74">
        <v>10</v>
      </c>
      <c r="H110" s="64">
        <v>10</v>
      </c>
      <c r="I110" s="64">
        <v>100</v>
      </c>
      <c r="J110" s="65">
        <v>0.05</v>
      </c>
      <c r="K110" s="21">
        <f t="shared" si="7"/>
        <v>3.105</v>
      </c>
      <c r="L110" s="21">
        <f t="shared" si="5"/>
        <v>0.93149999999999999</v>
      </c>
      <c r="M110" s="21">
        <f t="shared" si="6"/>
        <v>1.5525</v>
      </c>
      <c r="N110" s="21">
        <f t="shared" si="9"/>
        <v>5.5890000000000004</v>
      </c>
    </row>
    <row r="111" spans="1:14" x14ac:dyDescent="0.3">
      <c r="A111" s="72">
        <f t="shared" si="8"/>
        <v>108</v>
      </c>
      <c r="B111" s="64">
        <v>32</v>
      </c>
      <c r="C111" s="73" t="s">
        <v>352</v>
      </c>
      <c r="D111" s="64" t="s">
        <v>354</v>
      </c>
      <c r="E111" s="74">
        <v>3690</v>
      </c>
      <c r="F111" s="64">
        <v>3690</v>
      </c>
      <c r="G111" s="74">
        <v>10</v>
      </c>
      <c r="H111" s="64">
        <v>10</v>
      </c>
      <c r="I111" s="64">
        <v>100</v>
      </c>
      <c r="J111" s="65">
        <v>0.05</v>
      </c>
      <c r="K111" s="21">
        <f t="shared" si="7"/>
        <v>3.69</v>
      </c>
      <c r="L111" s="21">
        <f t="shared" si="5"/>
        <v>1.107</v>
      </c>
      <c r="M111" s="21">
        <f t="shared" si="6"/>
        <v>1.845</v>
      </c>
      <c r="N111" s="21">
        <f t="shared" si="9"/>
        <v>6.6419999999999995</v>
      </c>
    </row>
    <row r="112" spans="1:14" x14ac:dyDescent="0.3">
      <c r="A112" s="72">
        <f t="shared" si="8"/>
        <v>109</v>
      </c>
      <c r="B112" s="64">
        <v>33</v>
      </c>
      <c r="C112" s="73" t="s">
        <v>355</v>
      </c>
      <c r="D112" s="64" t="s">
        <v>356</v>
      </c>
      <c r="E112" s="74">
        <v>7416</v>
      </c>
      <c r="F112" s="64">
        <v>7416</v>
      </c>
      <c r="G112" s="74">
        <v>10</v>
      </c>
      <c r="H112" s="64">
        <v>10</v>
      </c>
      <c r="I112" s="64">
        <v>100</v>
      </c>
      <c r="J112" s="65">
        <v>0.03</v>
      </c>
      <c r="K112" s="21">
        <f t="shared" si="7"/>
        <v>7.4160000000000004</v>
      </c>
      <c r="L112" s="21">
        <f t="shared" si="5"/>
        <v>2.2247999999999997</v>
      </c>
      <c r="M112" s="21">
        <f t="shared" si="6"/>
        <v>2.2248000000000001</v>
      </c>
      <c r="N112" s="21">
        <f t="shared" si="9"/>
        <v>11.865600000000001</v>
      </c>
    </row>
    <row r="113" spans="1:14" x14ac:dyDescent="0.3">
      <c r="A113" s="72">
        <f t="shared" si="8"/>
        <v>110</v>
      </c>
      <c r="B113" s="64">
        <v>33</v>
      </c>
      <c r="C113" s="73" t="s">
        <v>355</v>
      </c>
      <c r="D113" s="64" t="s">
        <v>357</v>
      </c>
      <c r="E113" s="74">
        <v>9900</v>
      </c>
      <c r="F113" s="64">
        <v>9900</v>
      </c>
      <c r="G113" s="74">
        <v>10</v>
      </c>
      <c r="H113" s="64">
        <v>10</v>
      </c>
      <c r="I113" s="64">
        <v>100</v>
      </c>
      <c r="J113" s="65">
        <v>0.03</v>
      </c>
      <c r="K113" s="21">
        <f t="shared" si="7"/>
        <v>9.9</v>
      </c>
      <c r="L113" s="21">
        <f t="shared" si="5"/>
        <v>2.9699999999999998</v>
      </c>
      <c r="M113" s="21">
        <f t="shared" si="6"/>
        <v>2.97</v>
      </c>
      <c r="N113" s="21">
        <f t="shared" si="9"/>
        <v>15.840000000000002</v>
      </c>
    </row>
    <row r="114" spans="1:14" x14ac:dyDescent="0.3">
      <c r="A114" s="72">
        <f t="shared" si="8"/>
        <v>111</v>
      </c>
      <c r="B114" s="64">
        <v>33</v>
      </c>
      <c r="C114" s="73" t="s">
        <v>355</v>
      </c>
      <c r="D114" s="64" t="s">
        <v>251</v>
      </c>
      <c r="E114" s="74">
        <v>12420</v>
      </c>
      <c r="F114" s="64">
        <v>12420</v>
      </c>
      <c r="G114" s="74">
        <v>10</v>
      </c>
      <c r="H114" s="64">
        <v>10</v>
      </c>
      <c r="I114" s="64">
        <v>100</v>
      </c>
      <c r="J114" s="65">
        <v>0.03</v>
      </c>
      <c r="K114" s="21">
        <f t="shared" si="7"/>
        <v>12.42</v>
      </c>
      <c r="L114" s="21">
        <f t="shared" si="5"/>
        <v>3.726</v>
      </c>
      <c r="M114" s="21">
        <f t="shared" si="6"/>
        <v>3.7259999999999995</v>
      </c>
      <c r="N114" s="21">
        <f t="shared" si="9"/>
        <v>19.872</v>
      </c>
    </row>
    <row r="115" spans="1:14" x14ac:dyDescent="0.3">
      <c r="A115" s="72">
        <f t="shared" si="8"/>
        <v>112</v>
      </c>
      <c r="B115" s="64">
        <v>33</v>
      </c>
      <c r="C115" s="73" t="s">
        <v>355</v>
      </c>
      <c r="D115" s="64" t="s">
        <v>252</v>
      </c>
      <c r="E115" s="74">
        <v>14905</v>
      </c>
      <c r="F115" s="64">
        <v>14905</v>
      </c>
      <c r="G115" s="74">
        <v>10</v>
      </c>
      <c r="H115" s="64">
        <v>10</v>
      </c>
      <c r="I115" s="64">
        <v>100</v>
      </c>
      <c r="J115" s="65">
        <v>0.03</v>
      </c>
      <c r="K115" s="21">
        <f t="shared" si="7"/>
        <v>14.904999999999999</v>
      </c>
      <c r="L115" s="21">
        <f t="shared" si="5"/>
        <v>4.4714999999999998</v>
      </c>
      <c r="M115" s="21">
        <f t="shared" si="6"/>
        <v>4.4714999999999998</v>
      </c>
      <c r="N115" s="21">
        <f t="shared" si="9"/>
        <v>23.847999999999999</v>
      </c>
    </row>
    <row r="116" spans="1:14" x14ac:dyDescent="0.3">
      <c r="A116" s="72">
        <f t="shared" si="8"/>
        <v>113</v>
      </c>
      <c r="B116" s="64">
        <v>34</v>
      </c>
      <c r="C116" s="73" t="s">
        <v>358</v>
      </c>
      <c r="D116" s="64" t="s">
        <v>261</v>
      </c>
      <c r="E116" s="74">
        <v>16475</v>
      </c>
      <c r="F116" s="64">
        <v>16475</v>
      </c>
      <c r="G116" s="74">
        <v>10</v>
      </c>
      <c r="H116" s="64">
        <v>10</v>
      </c>
      <c r="I116" s="64">
        <v>100</v>
      </c>
      <c r="J116" s="65">
        <v>1.6E-2</v>
      </c>
      <c r="K116" s="21">
        <f t="shared" si="7"/>
        <v>16.475000000000001</v>
      </c>
      <c r="L116" s="21">
        <f t="shared" si="5"/>
        <v>4.9424999999999999</v>
      </c>
      <c r="M116" s="21">
        <f t="shared" si="6"/>
        <v>2.6360000000000001</v>
      </c>
      <c r="N116" s="21">
        <f t="shared" si="9"/>
        <v>24.0535</v>
      </c>
    </row>
    <row r="117" spans="1:14" x14ac:dyDescent="0.3">
      <c r="A117" s="72">
        <f t="shared" si="8"/>
        <v>114</v>
      </c>
      <c r="B117" s="64">
        <v>34</v>
      </c>
      <c r="C117" s="73" t="s">
        <v>358</v>
      </c>
      <c r="D117" s="64" t="s">
        <v>359</v>
      </c>
      <c r="E117" s="74">
        <v>18959</v>
      </c>
      <c r="F117" s="64">
        <v>18959</v>
      </c>
      <c r="G117" s="74">
        <v>10</v>
      </c>
      <c r="H117" s="64">
        <v>10</v>
      </c>
      <c r="I117" s="64">
        <v>100</v>
      </c>
      <c r="J117" s="65">
        <v>1.6E-2</v>
      </c>
      <c r="K117" s="21">
        <f t="shared" si="7"/>
        <v>18.959</v>
      </c>
      <c r="L117" s="21">
        <f t="shared" si="5"/>
        <v>5.6876999999999995</v>
      </c>
      <c r="M117" s="21">
        <f t="shared" si="6"/>
        <v>3.0334400000000001</v>
      </c>
      <c r="N117" s="21">
        <f t="shared" si="9"/>
        <v>27.680139999999998</v>
      </c>
    </row>
    <row r="118" spans="1:14" x14ac:dyDescent="0.3">
      <c r="A118" s="72">
        <f t="shared" si="8"/>
        <v>115</v>
      </c>
      <c r="B118" s="64">
        <v>35</v>
      </c>
      <c r="C118" s="73" t="s">
        <v>360</v>
      </c>
      <c r="D118" s="64" t="s">
        <v>256</v>
      </c>
      <c r="E118" s="74">
        <v>3909</v>
      </c>
      <c r="F118" s="64">
        <v>3909</v>
      </c>
      <c r="G118" s="74">
        <v>10</v>
      </c>
      <c r="H118" s="64">
        <v>10</v>
      </c>
      <c r="I118" s="64">
        <v>100</v>
      </c>
      <c r="J118" s="65">
        <v>0.03</v>
      </c>
      <c r="K118" s="21">
        <f t="shared" si="7"/>
        <v>3.9089999999999998</v>
      </c>
      <c r="L118" s="21">
        <f t="shared" si="5"/>
        <v>1.1727000000000001</v>
      </c>
      <c r="M118" s="21">
        <f t="shared" si="6"/>
        <v>1.1726999999999999</v>
      </c>
      <c r="N118" s="21">
        <f t="shared" si="9"/>
        <v>6.2543999999999995</v>
      </c>
    </row>
    <row r="119" spans="1:14" x14ac:dyDescent="0.3">
      <c r="A119" s="72">
        <f t="shared" si="8"/>
        <v>116</v>
      </c>
      <c r="B119" s="64">
        <v>36</v>
      </c>
      <c r="C119" s="73" t="s">
        <v>361</v>
      </c>
      <c r="D119" s="64" t="s">
        <v>362</v>
      </c>
      <c r="E119" s="74">
        <v>4639</v>
      </c>
      <c r="F119" s="64">
        <v>4639</v>
      </c>
      <c r="G119" s="74">
        <v>10</v>
      </c>
      <c r="H119" s="64">
        <v>10</v>
      </c>
      <c r="I119" s="64">
        <v>100</v>
      </c>
      <c r="J119" s="65">
        <v>0.03</v>
      </c>
      <c r="K119" s="21">
        <f t="shared" si="7"/>
        <v>4.6390000000000002</v>
      </c>
      <c r="L119" s="21">
        <f t="shared" si="5"/>
        <v>1.3916999999999999</v>
      </c>
      <c r="M119" s="21">
        <f t="shared" si="6"/>
        <v>1.3916999999999999</v>
      </c>
      <c r="N119" s="21">
        <f t="shared" si="9"/>
        <v>7.4224000000000006</v>
      </c>
    </row>
    <row r="120" spans="1:14" x14ac:dyDescent="0.3">
      <c r="A120" s="72">
        <f t="shared" si="8"/>
        <v>117</v>
      </c>
      <c r="B120" s="64">
        <v>36</v>
      </c>
      <c r="C120" s="73" t="s">
        <v>361</v>
      </c>
      <c r="D120" s="64" t="s">
        <v>363</v>
      </c>
      <c r="E120" s="74">
        <v>5955</v>
      </c>
      <c r="F120" s="64">
        <v>5950</v>
      </c>
      <c r="G120" s="74">
        <v>10</v>
      </c>
      <c r="H120" s="64">
        <v>10</v>
      </c>
      <c r="I120" s="64">
        <v>100</v>
      </c>
      <c r="J120" s="65">
        <v>0.03</v>
      </c>
      <c r="K120" s="21">
        <f t="shared" si="7"/>
        <v>5.95</v>
      </c>
      <c r="L120" s="21">
        <f t="shared" si="5"/>
        <v>1.7849999999999999</v>
      </c>
      <c r="M120" s="21">
        <f t="shared" si="6"/>
        <v>1.7849999999999999</v>
      </c>
      <c r="N120" s="21">
        <f t="shared" si="9"/>
        <v>9.52</v>
      </c>
    </row>
    <row r="121" spans="1:14" x14ac:dyDescent="0.3">
      <c r="A121" s="72">
        <f t="shared" si="8"/>
        <v>118</v>
      </c>
      <c r="B121" s="64">
        <v>36</v>
      </c>
      <c r="C121" s="73" t="s">
        <v>361</v>
      </c>
      <c r="D121" s="64" t="s">
        <v>353</v>
      </c>
      <c r="E121" s="74">
        <v>7270</v>
      </c>
      <c r="F121" s="64">
        <v>7270</v>
      </c>
      <c r="G121" s="74">
        <v>10</v>
      </c>
      <c r="H121" s="64">
        <v>10</v>
      </c>
      <c r="I121" s="64">
        <v>100</v>
      </c>
      <c r="J121" s="65">
        <v>0.03</v>
      </c>
      <c r="K121" s="21">
        <f t="shared" si="7"/>
        <v>7.27</v>
      </c>
      <c r="L121" s="21">
        <f t="shared" si="5"/>
        <v>2.181</v>
      </c>
      <c r="M121" s="21">
        <f t="shared" si="6"/>
        <v>2.181</v>
      </c>
      <c r="N121" s="21">
        <f t="shared" si="9"/>
        <v>11.632000000000001</v>
      </c>
    </row>
    <row r="122" spans="1:14" x14ac:dyDescent="0.3">
      <c r="A122" s="72">
        <f t="shared" si="8"/>
        <v>119</v>
      </c>
      <c r="B122" s="64">
        <v>36</v>
      </c>
      <c r="C122" s="73" t="s">
        <v>361</v>
      </c>
      <c r="D122" s="64" t="s">
        <v>364</v>
      </c>
      <c r="E122" s="74">
        <v>8585</v>
      </c>
      <c r="F122" s="64">
        <v>8585</v>
      </c>
      <c r="G122" s="74">
        <v>10</v>
      </c>
      <c r="H122" s="64">
        <v>10</v>
      </c>
      <c r="I122" s="64">
        <v>100</v>
      </c>
      <c r="J122" s="65">
        <v>0.03</v>
      </c>
      <c r="K122" s="21">
        <f t="shared" si="7"/>
        <v>8.5850000000000009</v>
      </c>
      <c r="L122" s="21">
        <f t="shared" si="5"/>
        <v>2.5754999999999999</v>
      </c>
      <c r="M122" s="21">
        <f t="shared" si="6"/>
        <v>2.5754999999999999</v>
      </c>
      <c r="N122" s="21">
        <f t="shared" si="9"/>
        <v>13.736000000000001</v>
      </c>
    </row>
    <row r="123" spans="1:14" x14ac:dyDescent="0.3">
      <c r="A123" s="72">
        <f t="shared" si="8"/>
        <v>120</v>
      </c>
      <c r="B123" s="64">
        <v>36</v>
      </c>
      <c r="C123" s="73" t="s">
        <v>361</v>
      </c>
      <c r="D123" s="64" t="s">
        <v>354</v>
      </c>
      <c r="E123" s="74">
        <v>9936</v>
      </c>
      <c r="F123" s="64">
        <v>9936</v>
      </c>
      <c r="G123" s="74">
        <v>10</v>
      </c>
      <c r="H123" s="64">
        <v>10</v>
      </c>
      <c r="I123" s="64">
        <v>100</v>
      </c>
      <c r="J123" s="65">
        <v>0.03</v>
      </c>
      <c r="K123" s="21">
        <f t="shared" si="7"/>
        <v>9.9359999999999999</v>
      </c>
      <c r="L123" s="21">
        <f t="shared" si="5"/>
        <v>2.9807999999999999</v>
      </c>
      <c r="M123" s="21">
        <f t="shared" si="6"/>
        <v>2.9807999999999999</v>
      </c>
      <c r="N123" s="21">
        <f t="shared" si="9"/>
        <v>15.897600000000001</v>
      </c>
    </row>
    <row r="124" spans="1:14" x14ac:dyDescent="0.3">
      <c r="A124" s="72">
        <f t="shared" si="8"/>
        <v>121</v>
      </c>
      <c r="B124" s="64">
        <v>37</v>
      </c>
      <c r="C124" s="73" t="s">
        <v>365</v>
      </c>
      <c r="D124" s="64" t="s">
        <v>366</v>
      </c>
      <c r="E124" s="74">
        <v>2472</v>
      </c>
      <c r="F124" s="64">
        <v>2472</v>
      </c>
      <c r="G124" s="74">
        <v>10</v>
      </c>
      <c r="H124" s="64">
        <v>10</v>
      </c>
      <c r="I124" s="64">
        <v>100</v>
      </c>
      <c r="J124" s="65">
        <v>0.05</v>
      </c>
      <c r="K124" s="21">
        <f t="shared" si="7"/>
        <v>2.472</v>
      </c>
      <c r="L124" s="21">
        <f t="shared" si="5"/>
        <v>0.74159999999999993</v>
      </c>
      <c r="M124" s="21">
        <f t="shared" si="6"/>
        <v>1.236</v>
      </c>
      <c r="N124" s="21">
        <f t="shared" si="9"/>
        <v>4.4496000000000002</v>
      </c>
    </row>
    <row r="125" spans="1:14" x14ac:dyDescent="0.3">
      <c r="A125" s="72">
        <f t="shared" si="8"/>
        <v>122</v>
      </c>
      <c r="B125" s="64">
        <v>37</v>
      </c>
      <c r="C125" s="73" t="s">
        <v>365</v>
      </c>
      <c r="D125" s="64" t="s">
        <v>367</v>
      </c>
      <c r="E125" s="74">
        <v>2676</v>
      </c>
      <c r="F125" s="64">
        <v>2676</v>
      </c>
      <c r="G125" s="74">
        <v>10</v>
      </c>
      <c r="H125" s="64">
        <v>10</v>
      </c>
      <c r="I125" s="64">
        <v>100</v>
      </c>
      <c r="J125" s="65">
        <v>0.05</v>
      </c>
      <c r="K125" s="21">
        <f t="shared" si="7"/>
        <v>2.6760000000000002</v>
      </c>
      <c r="L125" s="21">
        <f t="shared" si="5"/>
        <v>0.80280000000000007</v>
      </c>
      <c r="M125" s="21">
        <f t="shared" si="6"/>
        <v>1.3380000000000001</v>
      </c>
      <c r="N125" s="21">
        <f t="shared" si="9"/>
        <v>4.8168000000000006</v>
      </c>
    </row>
    <row r="126" spans="1:14" x14ac:dyDescent="0.3">
      <c r="A126" s="72">
        <f t="shared" si="8"/>
        <v>123</v>
      </c>
      <c r="B126" s="64">
        <v>37</v>
      </c>
      <c r="C126" s="73" t="s">
        <v>365</v>
      </c>
      <c r="D126" s="64" t="s">
        <v>368</v>
      </c>
      <c r="E126" s="74">
        <v>2881</v>
      </c>
      <c r="F126" s="64">
        <v>2881</v>
      </c>
      <c r="G126" s="74">
        <v>10</v>
      </c>
      <c r="H126" s="64">
        <v>10</v>
      </c>
      <c r="I126" s="64">
        <v>100</v>
      </c>
      <c r="J126" s="65">
        <v>0.05</v>
      </c>
      <c r="K126" s="21">
        <f t="shared" si="7"/>
        <v>2.8809999999999998</v>
      </c>
      <c r="L126" s="21">
        <f t="shared" si="5"/>
        <v>0.86429999999999996</v>
      </c>
      <c r="M126" s="21">
        <f t="shared" si="6"/>
        <v>1.4405000000000001</v>
      </c>
      <c r="N126" s="21">
        <f t="shared" si="9"/>
        <v>5.1858000000000004</v>
      </c>
    </row>
    <row r="127" spans="1:14" x14ac:dyDescent="0.3">
      <c r="A127" s="72">
        <f t="shared" si="8"/>
        <v>124</v>
      </c>
      <c r="B127" s="64">
        <v>37</v>
      </c>
      <c r="C127" s="73" t="s">
        <v>365</v>
      </c>
      <c r="D127" s="64" t="s">
        <v>369</v>
      </c>
      <c r="E127" s="74">
        <v>3185</v>
      </c>
      <c r="F127" s="64">
        <v>3185</v>
      </c>
      <c r="G127" s="74">
        <v>10</v>
      </c>
      <c r="H127" s="64">
        <v>10</v>
      </c>
      <c r="I127" s="64">
        <v>100</v>
      </c>
      <c r="J127" s="65">
        <v>0.05</v>
      </c>
      <c r="K127" s="21">
        <f t="shared" si="7"/>
        <v>3.1850000000000001</v>
      </c>
      <c r="L127" s="21">
        <f t="shared" si="5"/>
        <v>0.95550000000000002</v>
      </c>
      <c r="M127" s="21">
        <f t="shared" si="6"/>
        <v>1.5925</v>
      </c>
      <c r="N127" s="21">
        <f t="shared" si="9"/>
        <v>5.7330000000000005</v>
      </c>
    </row>
    <row r="128" spans="1:14" x14ac:dyDescent="0.3">
      <c r="A128" s="72">
        <f t="shared" si="8"/>
        <v>125</v>
      </c>
      <c r="B128" s="64">
        <v>38</v>
      </c>
      <c r="C128" s="73" t="s">
        <v>370</v>
      </c>
      <c r="D128" s="64" t="s">
        <v>371</v>
      </c>
      <c r="E128" s="74">
        <v>3189</v>
      </c>
      <c r="F128" s="64">
        <v>3180</v>
      </c>
      <c r="G128" s="74">
        <v>10</v>
      </c>
      <c r="H128" s="64">
        <v>10</v>
      </c>
      <c r="I128" s="64">
        <v>100</v>
      </c>
      <c r="J128" s="65">
        <v>0.08</v>
      </c>
      <c r="K128" s="21">
        <f t="shared" si="7"/>
        <v>3.18</v>
      </c>
      <c r="L128" s="21">
        <f t="shared" si="5"/>
        <v>0.95399999999999996</v>
      </c>
      <c r="M128" s="21">
        <f t="shared" si="6"/>
        <v>2.544</v>
      </c>
      <c r="N128" s="21">
        <f t="shared" si="9"/>
        <v>6.6780000000000008</v>
      </c>
    </row>
    <row r="129" spans="1:14" x14ac:dyDescent="0.3">
      <c r="A129" s="72">
        <f t="shared" si="8"/>
        <v>126</v>
      </c>
      <c r="B129" s="64">
        <v>38</v>
      </c>
      <c r="C129" s="73" t="s">
        <v>370</v>
      </c>
      <c r="D129" s="64" t="s">
        <v>372</v>
      </c>
      <c r="E129" s="74">
        <v>3364</v>
      </c>
      <c r="F129" s="64">
        <v>3364</v>
      </c>
      <c r="G129" s="74">
        <v>10</v>
      </c>
      <c r="H129" s="64">
        <v>10</v>
      </c>
      <c r="I129" s="64">
        <v>100</v>
      </c>
      <c r="J129" s="65">
        <v>0.08</v>
      </c>
      <c r="K129" s="21">
        <f t="shared" si="7"/>
        <v>3.3639999999999999</v>
      </c>
      <c r="L129" s="21">
        <f t="shared" si="5"/>
        <v>1.0091999999999999</v>
      </c>
      <c r="M129" s="21">
        <f t="shared" si="6"/>
        <v>2.6912000000000003</v>
      </c>
      <c r="N129" s="21">
        <f t="shared" si="9"/>
        <v>7.0644</v>
      </c>
    </row>
    <row r="130" spans="1:14" x14ac:dyDescent="0.3">
      <c r="A130" s="72">
        <f t="shared" si="8"/>
        <v>127</v>
      </c>
      <c r="B130" s="64">
        <v>38</v>
      </c>
      <c r="C130" s="73" t="s">
        <v>370</v>
      </c>
      <c r="D130" s="64" t="s">
        <v>373</v>
      </c>
      <c r="E130" s="74">
        <v>3644</v>
      </c>
      <c r="F130" s="64">
        <v>3644</v>
      </c>
      <c r="G130" s="74">
        <v>10</v>
      </c>
      <c r="H130" s="64">
        <v>10</v>
      </c>
      <c r="I130" s="64">
        <v>100</v>
      </c>
      <c r="J130" s="65">
        <v>0.08</v>
      </c>
      <c r="K130" s="21">
        <f t="shared" si="7"/>
        <v>3.6440000000000001</v>
      </c>
      <c r="L130" s="21">
        <f t="shared" si="5"/>
        <v>1.0931999999999999</v>
      </c>
      <c r="M130" s="21">
        <f t="shared" si="6"/>
        <v>2.9152</v>
      </c>
      <c r="N130" s="21">
        <f t="shared" si="9"/>
        <v>7.6524000000000001</v>
      </c>
    </row>
    <row r="131" spans="1:14" x14ac:dyDescent="0.3">
      <c r="A131" s="72">
        <f t="shared" si="8"/>
        <v>128</v>
      </c>
      <c r="B131" s="64">
        <v>38</v>
      </c>
      <c r="C131" s="73" t="s">
        <v>370</v>
      </c>
      <c r="D131" s="64" t="s">
        <v>374</v>
      </c>
      <c r="E131" s="74">
        <v>3885</v>
      </c>
      <c r="F131" s="64">
        <v>3885</v>
      </c>
      <c r="G131" s="74">
        <v>10</v>
      </c>
      <c r="H131" s="64">
        <v>10</v>
      </c>
      <c r="I131" s="64">
        <v>100</v>
      </c>
      <c r="J131" s="65">
        <v>0.08</v>
      </c>
      <c r="K131" s="21">
        <f t="shared" si="7"/>
        <v>3.8849999999999998</v>
      </c>
      <c r="L131" s="21">
        <f t="shared" si="5"/>
        <v>1.1655</v>
      </c>
      <c r="M131" s="21">
        <f t="shared" si="6"/>
        <v>3.1080000000000001</v>
      </c>
      <c r="N131" s="21">
        <f t="shared" si="9"/>
        <v>8.1585000000000001</v>
      </c>
    </row>
    <row r="132" spans="1:14" x14ac:dyDescent="0.3">
      <c r="A132" s="72">
        <f t="shared" si="8"/>
        <v>129</v>
      </c>
      <c r="B132" s="64">
        <v>38</v>
      </c>
      <c r="C132" s="73" t="s">
        <v>370</v>
      </c>
      <c r="D132" s="64" t="s">
        <v>375</v>
      </c>
      <c r="E132" s="74">
        <v>4582</v>
      </c>
      <c r="F132" s="64">
        <v>4582</v>
      </c>
      <c r="G132" s="74">
        <v>10</v>
      </c>
      <c r="H132" s="64">
        <v>10</v>
      </c>
      <c r="I132" s="64">
        <v>100</v>
      </c>
      <c r="J132" s="65">
        <v>0.08</v>
      </c>
      <c r="K132" s="21">
        <f t="shared" si="7"/>
        <v>4.5819999999999999</v>
      </c>
      <c r="L132" s="21">
        <f t="shared" ref="L132:L195" si="10">+(F132/I132)*($L$1/100)</f>
        <v>1.3746</v>
      </c>
      <c r="M132" s="21">
        <f t="shared" ref="M132:M195" si="11">+F132*J132/100</f>
        <v>3.6656</v>
      </c>
      <c r="N132" s="21">
        <f t="shared" si="9"/>
        <v>9.6221999999999994</v>
      </c>
    </row>
    <row r="133" spans="1:14" x14ac:dyDescent="0.3">
      <c r="A133" s="72">
        <f t="shared" si="8"/>
        <v>130</v>
      </c>
      <c r="B133" s="64">
        <v>39</v>
      </c>
      <c r="C133" s="73" t="s">
        <v>376</v>
      </c>
      <c r="D133" s="64" t="s">
        <v>371</v>
      </c>
      <c r="E133" s="74">
        <v>4557</v>
      </c>
      <c r="F133" s="64">
        <v>4557</v>
      </c>
      <c r="G133" s="74">
        <v>10</v>
      </c>
      <c r="H133" s="64">
        <v>10</v>
      </c>
      <c r="I133" s="64">
        <v>100</v>
      </c>
      <c r="J133" s="65">
        <v>0.08</v>
      </c>
      <c r="K133" s="21">
        <f t="shared" ref="K133:K196" si="12">+F133/(H133*I133)</f>
        <v>4.5570000000000004</v>
      </c>
      <c r="L133" s="21">
        <f t="shared" si="10"/>
        <v>1.3671</v>
      </c>
      <c r="M133" s="21">
        <f t="shared" si="11"/>
        <v>3.6456</v>
      </c>
      <c r="N133" s="21">
        <f t="shared" si="9"/>
        <v>9.569700000000001</v>
      </c>
    </row>
    <row r="134" spans="1:14" x14ac:dyDescent="0.3">
      <c r="A134" s="72">
        <f t="shared" ref="A134:A197" si="13">+A133+1</f>
        <v>131</v>
      </c>
      <c r="B134" s="64">
        <v>39</v>
      </c>
      <c r="C134" s="73" t="s">
        <v>376</v>
      </c>
      <c r="D134" s="64" t="s">
        <v>372</v>
      </c>
      <c r="E134" s="74">
        <v>4807</v>
      </c>
      <c r="F134" s="64">
        <v>4807</v>
      </c>
      <c r="G134" s="74">
        <v>10</v>
      </c>
      <c r="H134" s="64">
        <v>10</v>
      </c>
      <c r="I134" s="64">
        <v>100</v>
      </c>
      <c r="J134" s="65">
        <v>0.08</v>
      </c>
      <c r="K134" s="21">
        <f t="shared" si="12"/>
        <v>4.8070000000000004</v>
      </c>
      <c r="L134" s="21">
        <f t="shared" si="10"/>
        <v>1.4420999999999999</v>
      </c>
      <c r="M134" s="21">
        <f t="shared" si="11"/>
        <v>3.8456000000000001</v>
      </c>
      <c r="N134" s="21">
        <f t="shared" ref="N134:N197" si="14">+K134+L134+M134</f>
        <v>10.0947</v>
      </c>
    </row>
    <row r="135" spans="1:14" x14ac:dyDescent="0.3">
      <c r="A135" s="72">
        <f t="shared" si="13"/>
        <v>132</v>
      </c>
      <c r="B135" s="64">
        <v>39</v>
      </c>
      <c r="C135" s="73" t="s">
        <v>376</v>
      </c>
      <c r="D135" s="64" t="s">
        <v>373</v>
      </c>
      <c r="E135" s="74">
        <v>5203</v>
      </c>
      <c r="F135" s="64">
        <v>5203</v>
      </c>
      <c r="G135" s="74">
        <v>10</v>
      </c>
      <c r="H135" s="64">
        <v>10</v>
      </c>
      <c r="I135" s="64">
        <v>100</v>
      </c>
      <c r="J135" s="65">
        <v>0.08</v>
      </c>
      <c r="K135" s="21">
        <f t="shared" si="12"/>
        <v>5.2030000000000003</v>
      </c>
      <c r="L135" s="21">
        <f t="shared" si="10"/>
        <v>1.5609</v>
      </c>
      <c r="M135" s="21">
        <f t="shared" si="11"/>
        <v>4.1623999999999999</v>
      </c>
      <c r="N135" s="21">
        <f t="shared" si="14"/>
        <v>10.926300000000001</v>
      </c>
    </row>
    <row r="136" spans="1:14" x14ac:dyDescent="0.3">
      <c r="A136" s="72">
        <f t="shared" si="13"/>
        <v>133</v>
      </c>
      <c r="B136" s="64">
        <v>39</v>
      </c>
      <c r="C136" s="73" t="s">
        <v>376</v>
      </c>
      <c r="D136" s="64" t="s">
        <v>350</v>
      </c>
      <c r="E136" s="74">
        <v>5549</v>
      </c>
      <c r="F136" s="64">
        <v>5549</v>
      </c>
      <c r="G136" s="74">
        <v>10</v>
      </c>
      <c r="H136" s="64">
        <v>10</v>
      </c>
      <c r="I136" s="64">
        <v>100</v>
      </c>
      <c r="J136" s="65">
        <v>0.08</v>
      </c>
      <c r="K136" s="21">
        <f t="shared" si="12"/>
        <v>5.5490000000000004</v>
      </c>
      <c r="L136" s="21">
        <f t="shared" si="10"/>
        <v>1.6647000000000001</v>
      </c>
      <c r="M136" s="21">
        <f t="shared" si="11"/>
        <v>4.4392000000000005</v>
      </c>
      <c r="N136" s="21">
        <f t="shared" si="14"/>
        <v>11.652900000000001</v>
      </c>
    </row>
    <row r="137" spans="1:14" x14ac:dyDescent="0.3">
      <c r="A137" s="72">
        <f t="shared" si="13"/>
        <v>134</v>
      </c>
      <c r="B137" s="64">
        <v>40</v>
      </c>
      <c r="C137" s="73" t="s">
        <v>377</v>
      </c>
      <c r="D137" s="64" t="s">
        <v>378</v>
      </c>
      <c r="E137" s="74">
        <v>6966</v>
      </c>
      <c r="F137" s="64">
        <v>6966</v>
      </c>
      <c r="G137" s="74">
        <v>10</v>
      </c>
      <c r="H137" s="64">
        <v>10</v>
      </c>
      <c r="I137" s="64">
        <v>100</v>
      </c>
      <c r="J137" s="65">
        <v>0.05</v>
      </c>
      <c r="K137" s="21">
        <f t="shared" si="12"/>
        <v>6.9660000000000002</v>
      </c>
      <c r="L137" s="21">
        <f t="shared" si="10"/>
        <v>2.0897999999999999</v>
      </c>
      <c r="M137" s="21">
        <f t="shared" si="11"/>
        <v>3.4830000000000001</v>
      </c>
      <c r="N137" s="21">
        <f t="shared" si="14"/>
        <v>12.5388</v>
      </c>
    </row>
    <row r="138" spans="1:14" x14ac:dyDescent="0.3">
      <c r="A138" s="72">
        <f t="shared" si="13"/>
        <v>135</v>
      </c>
      <c r="B138" s="64">
        <v>40</v>
      </c>
      <c r="C138" s="73" t="s">
        <v>377</v>
      </c>
      <c r="D138" s="64" t="s">
        <v>379</v>
      </c>
      <c r="E138" s="74">
        <v>7412</v>
      </c>
      <c r="F138" s="64">
        <v>7412</v>
      </c>
      <c r="G138" s="74">
        <v>10</v>
      </c>
      <c r="H138" s="64">
        <v>10</v>
      </c>
      <c r="I138" s="64">
        <v>100</v>
      </c>
      <c r="J138" s="65">
        <v>0.05</v>
      </c>
      <c r="K138" s="21">
        <f t="shared" si="12"/>
        <v>7.4119999999999999</v>
      </c>
      <c r="L138" s="21">
        <f t="shared" si="10"/>
        <v>2.2236000000000002</v>
      </c>
      <c r="M138" s="21">
        <f t="shared" si="11"/>
        <v>3.7060000000000004</v>
      </c>
      <c r="N138" s="21">
        <f t="shared" si="14"/>
        <v>13.3416</v>
      </c>
    </row>
    <row r="139" spans="1:14" x14ac:dyDescent="0.3">
      <c r="A139" s="72">
        <f t="shared" si="13"/>
        <v>136</v>
      </c>
      <c r="B139" s="64">
        <v>40</v>
      </c>
      <c r="C139" s="73" t="s">
        <v>377</v>
      </c>
      <c r="D139" s="64" t="s">
        <v>380</v>
      </c>
      <c r="E139" s="74">
        <v>7858</v>
      </c>
      <c r="F139" s="64">
        <v>7858</v>
      </c>
      <c r="G139" s="74">
        <v>10</v>
      </c>
      <c r="H139" s="64">
        <v>10</v>
      </c>
      <c r="I139" s="64">
        <v>100</v>
      </c>
      <c r="J139" s="65">
        <v>0.05</v>
      </c>
      <c r="K139" s="21">
        <f t="shared" si="12"/>
        <v>7.8579999999999997</v>
      </c>
      <c r="L139" s="21">
        <f t="shared" si="10"/>
        <v>2.3573999999999997</v>
      </c>
      <c r="M139" s="21">
        <f t="shared" si="11"/>
        <v>3.9290000000000003</v>
      </c>
      <c r="N139" s="21">
        <f t="shared" si="14"/>
        <v>14.144399999999999</v>
      </c>
    </row>
    <row r="140" spans="1:14" x14ac:dyDescent="0.3">
      <c r="A140" s="72">
        <f t="shared" si="13"/>
        <v>137</v>
      </c>
      <c r="B140" s="64">
        <v>40</v>
      </c>
      <c r="C140" s="73" t="s">
        <v>377</v>
      </c>
      <c r="D140" s="64" t="s">
        <v>381</v>
      </c>
      <c r="E140" s="74">
        <v>8530</v>
      </c>
      <c r="F140" s="64">
        <v>8530</v>
      </c>
      <c r="G140" s="74">
        <v>10</v>
      </c>
      <c r="H140" s="64">
        <v>10</v>
      </c>
      <c r="I140" s="64">
        <v>100</v>
      </c>
      <c r="J140" s="65">
        <v>0.05</v>
      </c>
      <c r="K140" s="21">
        <f t="shared" si="12"/>
        <v>8.5299999999999994</v>
      </c>
      <c r="L140" s="21">
        <f t="shared" si="10"/>
        <v>2.5589999999999997</v>
      </c>
      <c r="M140" s="21">
        <f t="shared" si="11"/>
        <v>4.2649999999999997</v>
      </c>
      <c r="N140" s="21">
        <f t="shared" si="14"/>
        <v>15.353999999999999</v>
      </c>
    </row>
    <row r="141" spans="1:14" x14ac:dyDescent="0.3">
      <c r="A141" s="72">
        <f t="shared" si="13"/>
        <v>138</v>
      </c>
      <c r="B141" s="64">
        <v>41</v>
      </c>
      <c r="C141" s="73" t="s">
        <v>382</v>
      </c>
      <c r="D141" s="64" t="s">
        <v>383</v>
      </c>
      <c r="E141" s="74">
        <v>9288</v>
      </c>
      <c r="F141" s="64">
        <v>9288</v>
      </c>
      <c r="G141" s="74">
        <v>10</v>
      </c>
      <c r="H141" s="64">
        <v>10</v>
      </c>
      <c r="I141" s="64">
        <v>100</v>
      </c>
      <c r="J141" s="65">
        <v>0.05</v>
      </c>
      <c r="K141" s="21">
        <f t="shared" si="12"/>
        <v>9.2880000000000003</v>
      </c>
      <c r="L141" s="21">
        <f t="shared" si="10"/>
        <v>2.7863999999999995</v>
      </c>
      <c r="M141" s="21">
        <f t="shared" si="11"/>
        <v>4.6440000000000001</v>
      </c>
      <c r="N141" s="21">
        <f t="shared" si="14"/>
        <v>16.718400000000003</v>
      </c>
    </row>
    <row r="142" spans="1:14" x14ac:dyDescent="0.3">
      <c r="A142" s="72">
        <f t="shared" si="13"/>
        <v>139</v>
      </c>
      <c r="B142" s="64">
        <v>41</v>
      </c>
      <c r="C142" s="73" t="s">
        <v>382</v>
      </c>
      <c r="D142" s="64" t="s">
        <v>384</v>
      </c>
      <c r="E142" s="74">
        <v>9885</v>
      </c>
      <c r="F142" s="64">
        <v>9885</v>
      </c>
      <c r="G142" s="74">
        <v>10</v>
      </c>
      <c r="H142" s="64">
        <v>10</v>
      </c>
      <c r="I142" s="64">
        <v>100</v>
      </c>
      <c r="J142" s="65">
        <v>0.05</v>
      </c>
      <c r="K142" s="21">
        <f t="shared" si="12"/>
        <v>9.8849999999999998</v>
      </c>
      <c r="L142" s="21">
        <f t="shared" si="10"/>
        <v>2.9654999999999996</v>
      </c>
      <c r="M142" s="21">
        <f t="shared" si="11"/>
        <v>4.9424999999999999</v>
      </c>
      <c r="N142" s="21">
        <f t="shared" si="14"/>
        <v>17.792999999999999</v>
      </c>
    </row>
    <row r="143" spans="1:14" x14ac:dyDescent="0.3">
      <c r="A143" s="72">
        <f t="shared" si="13"/>
        <v>140</v>
      </c>
      <c r="B143" s="64">
        <v>41</v>
      </c>
      <c r="C143" s="73" t="s">
        <v>382</v>
      </c>
      <c r="D143" s="64" t="s">
        <v>385</v>
      </c>
      <c r="E143" s="74">
        <v>10481</v>
      </c>
      <c r="F143" s="64">
        <v>10481</v>
      </c>
      <c r="G143" s="74">
        <v>10</v>
      </c>
      <c r="H143" s="64">
        <v>10</v>
      </c>
      <c r="I143" s="64">
        <v>100</v>
      </c>
      <c r="J143" s="65">
        <v>0.05</v>
      </c>
      <c r="K143" s="21">
        <f t="shared" si="12"/>
        <v>10.481</v>
      </c>
      <c r="L143" s="21">
        <f t="shared" si="10"/>
        <v>3.1442999999999999</v>
      </c>
      <c r="M143" s="21">
        <f t="shared" si="11"/>
        <v>5.2405000000000008</v>
      </c>
      <c r="N143" s="21">
        <f t="shared" si="14"/>
        <v>18.8658</v>
      </c>
    </row>
    <row r="144" spans="1:14" x14ac:dyDescent="0.3">
      <c r="A144" s="72">
        <f t="shared" si="13"/>
        <v>141</v>
      </c>
      <c r="B144" s="64">
        <v>41</v>
      </c>
      <c r="C144" s="73" t="s">
        <v>382</v>
      </c>
      <c r="D144" s="64" t="s">
        <v>357</v>
      </c>
      <c r="E144" s="74">
        <v>11373</v>
      </c>
      <c r="F144" s="64">
        <v>11373</v>
      </c>
      <c r="G144" s="74">
        <v>10</v>
      </c>
      <c r="H144" s="64">
        <v>10</v>
      </c>
      <c r="I144" s="64">
        <v>100</v>
      </c>
      <c r="J144" s="65">
        <v>0.05</v>
      </c>
      <c r="K144" s="21">
        <f t="shared" si="12"/>
        <v>11.372999999999999</v>
      </c>
      <c r="L144" s="21">
        <f t="shared" si="10"/>
        <v>3.4119000000000002</v>
      </c>
      <c r="M144" s="21">
        <f t="shared" si="11"/>
        <v>5.6864999999999997</v>
      </c>
      <c r="N144" s="21">
        <f t="shared" si="14"/>
        <v>20.471399999999999</v>
      </c>
    </row>
    <row r="145" spans="1:14" x14ac:dyDescent="0.3">
      <c r="A145" s="72">
        <f t="shared" si="13"/>
        <v>142</v>
      </c>
      <c r="B145" s="64">
        <v>42</v>
      </c>
      <c r="C145" s="73" t="s">
        <v>386</v>
      </c>
      <c r="D145" s="64" t="s">
        <v>246</v>
      </c>
      <c r="E145" s="74">
        <v>5553</v>
      </c>
      <c r="F145" s="64">
        <v>5553</v>
      </c>
      <c r="G145" s="74">
        <v>10</v>
      </c>
      <c r="H145" s="64">
        <v>10</v>
      </c>
      <c r="I145" s="64">
        <v>100</v>
      </c>
      <c r="J145" s="65">
        <v>0.12</v>
      </c>
      <c r="K145" s="21">
        <f t="shared" si="12"/>
        <v>5.5529999999999999</v>
      </c>
      <c r="L145" s="21">
        <f t="shared" si="10"/>
        <v>1.6658999999999999</v>
      </c>
      <c r="M145" s="21">
        <f t="shared" si="11"/>
        <v>6.6635999999999997</v>
      </c>
      <c r="N145" s="21">
        <f t="shared" si="14"/>
        <v>13.8825</v>
      </c>
    </row>
    <row r="146" spans="1:14" x14ac:dyDescent="0.3">
      <c r="A146" s="72">
        <f t="shared" si="13"/>
        <v>143</v>
      </c>
      <c r="B146" s="64">
        <v>42</v>
      </c>
      <c r="C146" s="73" t="s">
        <v>386</v>
      </c>
      <c r="D146" s="64" t="s">
        <v>387</v>
      </c>
      <c r="E146" s="74">
        <v>6393</v>
      </c>
      <c r="F146" s="64">
        <v>6393</v>
      </c>
      <c r="G146" s="74">
        <v>10</v>
      </c>
      <c r="H146" s="64">
        <v>10</v>
      </c>
      <c r="I146" s="64">
        <v>100</v>
      </c>
      <c r="J146" s="65">
        <v>0.12</v>
      </c>
      <c r="K146" s="21">
        <f t="shared" si="12"/>
        <v>6.3929999999999998</v>
      </c>
      <c r="L146" s="21">
        <f t="shared" si="10"/>
        <v>1.9178999999999999</v>
      </c>
      <c r="M146" s="21">
        <f t="shared" si="11"/>
        <v>7.6715999999999998</v>
      </c>
      <c r="N146" s="21">
        <f t="shared" si="14"/>
        <v>15.9825</v>
      </c>
    </row>
    <row r="147" spans="1:14" x14ac:dyDescent="0.3">
      <c r="A147" s="72">
        <f t="shared" si="13"/>
        <v>144</v>
      </c>
      <c r="B147" s="64">
        <v>43</v>
      </c>
      <c r="C147" s="73" t="s">
        <v>388</v>
      </c>
      <c r="D147" s="64" t="s">
        <v>389</v>
      </c>
      <c r="E147" s="74">
        <v>10923</v>
      </c>
      <c r="F147" s="64">
        <v>10923</v>
      </c>
      <c r="G147" s="74">
        <v>10</v>
      </c>
      <c r="H147" s="64">
        <v>10</v>
      </c>
      <c r="I147" s="64">
        <v>100</v>
      </c>
      <c r="J147" s="65">
        <v>0.08</v>
      </c>
      <c r="K147" s="21">
        <f t="shared" si="12"/>
        <v>10.923</v>
      </c>
      <c r="L147" s="21">
        <f t="shared" si="10"/>
        <v>3.2768999999999999</v>
      </c>
      <c r="M147" s="21">
        <f t="shared" si="11"/>
        <v>8.7384000000000004</v>
      </c>
      <c r="N147" s="21">
        <f t="shared" si="14"/>
        <v>22.938299999999998</v>
      </c>
    </row>
    <row r="148" spans="1:14" x14ac:dyDescent="0.3">
      <c r="A148" s="72">
        <f t="shared" si="13"/>
        <v>145</v>
      </c>
      <c r="B148" s="64">
        <v>43</v>
      </c>
      <c r="C148" s="73" t="s">
        <v>388</v>
      </c>
      <c r="D148" s="64" t="s">
        <v>347</v>
      </c>
      <c r="E148" s="74">
        <v>12201</v>
      </c>
      <c r="F148" s="64">
        <v>12201</v>
      </c>
      <c r="G148" s="74">
        <v>10</v>
      </c>
      <c r="H148" s="64">
        <v>10</v>
      </c>
      <c r="I148" s="64">
        <v>100</v>
      </c>
      <c r="J148" s="65">
        <v>0.08</v>
      </c>
      <c r="K148" s="21">
        <f t="shared" si="12"/>
        <v>12.201000000000001</v>
      </c>
      <c r="L148" s="21">
        <f t="shared" si="10"/>
        <v>3.6602999999999999</v>
      </c>
      <c r="M148" s="21">
        <f t="shared" si="11"/>
        <v>9.7607999999999997</v>
      </c>
      <c r="N148" s="21">
        <f t="shared" si="14"/>
        <v>25.6221</v>
      </c>
    </row>
    <row r="149" spans="1:14" x14ac:dyDescent="0.3">
      <c r="A149" s="72">
        <f t="shared" si="13"/>
        <v>146</v>
      </c>
      <c r="B149" s="64">
        <v>44</v>
      </c>
      <c r="C149" s="73" t="s">
        <v>390</v>
      </c>
      <c r="D149" s="64" t="s">
        <v>391</v>
      </c>
      <c r="E149" s="74">
        <v>24037</v>
      </c>
      <c r="F149" s="64">
        <v>24037</v>
      </c>
      <c r="G149" s="74">
        <v>10</v>
      </c>
      <c r="H149" s="64">
        <v>10</v>
      </c>
      <c r="I149" s="64">
        <v>100</v>
      </c>
      <c r="J149" s="65">
        <v>0.04</v>
      </c>
      <c r="K149" s="21">
        <f t="shared" si="12"/>
        <v>24.036999999999999</v>
      </c>
      <c r="L149" s="21">
        <f t="shared" si="10"/>
        <v>7.2111000000000001</v>
      </c>
      <c r="M149" s="21">
        <f t="shared" si="11"/>
        <v>9.6148000000000007</v>
      </c>
      <c r="N149" s="21">
        <f t="shared" si="14"/>
        <v>40.862900000000003</v>
      </c>
    </row>
    <row r="150" spans="1:14" x14ac:dyDescent="0.3">
      <c r="A150" s="72">
        <f t="shared" si="13"/>
        <v>147</v>
      </c>
      <c r="B150" s="64">
        <v>45</v>
      </c>
      <c r="C150" s="73" t="s">
        <v>392</v>
      </c>
      <c r="D150" s="64" t="s">
        <v>256</v>
      </c>
      <c r="E150" s="74">
        <v>20432</v>
      </c>
      <c r="F150" s="64">
        <v>20432</v>
      </c>
      <c r="G150" s="74">
        <v>10</v>
      </c>
      <c r="H150" s="64">
        <v>10</v>
      </c>
      <c r="I150" s="64">
        <v>100</v>
      </c>
      <c r="J150" s="65">
        <v>0.04</v>
      </c>
      <c r="K150" s="21">
        <f t="shared" si="12"/>
        <v>20.431999999999999</v>
      </c>
      <c r="L150" s="21">
        <f t="shared" si="10"/>
        <v>6.1295999999999999</v>
      </c>
      <c r="M150" s="21">
        <f t="shared" si="11"/>
        <v>8.1728000000000005</v>
      </c>
      <c r="N150" s="21">
        <f t="shared" si="14"/>
        <v>34.734400000000001</v>
      </c>
    </row>
    <row r="151" spans="1:14" x14ac:dyDescent="0.3">
      <c r="A151" s="72">
        <f t="shared" si="13"/>
        <v>148</v>
      </c>
      <c r="B151" s="64">
        <v>46</v>
      </c>
      <c r="C151" s="73" t="s">
        <v>393</v>
      </c>
      <c r="D151" s="64" t="s">
        <v>394</v>
      </c>
      <c r="E151" s="74">
        <v>20384</v>
      </c>
      <c r="F151" s="64">
        <v>20380</v>
      </c>
      <c r="G151" s="74">
        <v>10</v>
      </c>
      <c r="H151" s="64">
        <v>10</v>
      </c>
      <c r="I151" s="64">
        <v>100</v>
      </c>
      <c r="J151" s="65">
        <v>0.04</v>
      </c>
      <c r="K151" s="21">
        <f t="shared" si="12"/>
        <v>20.38</v>
      </c>
      <c r="L151" s="21">
        <f t="shared" si="10"/>
        <v>6.1139999999999999</v>
      </c>
      <c r="M151" s="21">
        <f t="shared" si="11"/>
        <v>8.152000000000001</v>
      </c>
      <c r="N151" s="21">
        <f t="shared" si="14"/>
        <v>34.646000000000001</v>
      </c>
    </row>
    <row r="152" spans="1:14" x14ac:dyDescent="0.3">
      <c r="A152" s="72">
        <f t="shared" si="13"/>
        <v>149</v>
      </c>
      <c r="B152" s="64">
        <v>46</v>
      </c>
      <c r="C152" s="73" t="s">
        <v>393</v>
      </c>
      <c r="D152" s="64" t="s">
        <v>362</v>
      </c>
      <c r="E152" s="74">
        <v>24037</v>
      </c>
      <c r="F152" s="64">
        <v>24037</v>
      </c>
      <c r="G152" s="74">
        <v>10</v>
      </c>
      <c r="H152" s="64">
        <v>10</v>
      </c>
      <c r="I152" s="64">
        <v>100</v>
      </c>
      <c r="J152" s="65">
        <v>0.04</v>
      </c>
      <c r="K152" s="21">
        <f t="shared" si="12"/>
        <v>24.036999999999999</v>
      </c>
      <c r="L152" s="21">
        <f t="shared" si="10"/>
        <v>7.2111000000000001</v>
      </c>
      <c r="M152" s="21">
        <f t="shared" si="11"/>
        <v>9.6148000000000007</v>
      </c>
      <c r="N152" s="21">
        <f t="shared" si="14"/>
        <v>40.862900000000003</v>
      </c>
    </row>
    <row r="153" spans="1:14" x14ac:dyDescent="0.3">
      <c r="A153" s="72">
        <f t="shared" si="13"/>
        <v>150</v>
      </c>
      <c r="B153" s="64">
        <v>47</v>
      </c>
      <c r="C153" s="73" t="s">
        <v>395</v>
      </c>
      <c r="D153" s="64" t="s">
        <v>394</v>
      </c>
      <c r="E153" s="74">
        <v>8561</v>
      </c>
      <c r="F153" s="64">
        <v>8561</v>
      </c>
      <c r="G153" s="74">
        <v>10</v>
      </c>
      <c r="H153" s="64">
        <v>10</v>
      </c>
      <c r="I153" s="64">
        <v>100</v>
      </c>
      <c r="J153" s="65">
        <v>0.12</v>
      </c>
      <c r="K153" s="21">
        <f t="shared" si="12"/>
        <v>8.5609999999999999</v>
      </c>
      <c r="L153" s="21">
        <f t="shared" si="10"/>
        <v>2.5682999999999998</v>
      </c>
      <c r="M153" s="21">
        <f t="shared" si="11"/>
        <v>10.273199999999999</v>
      </c>
      <c r="N153" s="21">
        <f t="shared" si="14"/>
        <v>21.4025</v>
      </c>
    </row>
    <row r="154" spans="1:14" x14ac:dyDescent="0.3">
      <c r="A154" s="72">
        <f t="shared" si="13"/>
        <v>151</v>
      </c>
      <c r="B154" s="64">
        <v>48</v>
      </c>
      <c r="C154" s="73" t="s">
        <v>396</v>
      </c>
      <c r="D154" s="64" t="s">
        <v>389</v>
      </c>
      <c r="E154" s="74">
        <v>4384</v>
      </c>
      <c r="F154" s="64">
        <v>4384</v>
      </c>
      <c r="G154" s="74">
        <v>10</v>
      </c>
      <c r="H154" s="64">
        <v>10</v>
      </c>
      <c r="I154" s="64">
        <v>100</v>
      </c>
      <c r="J154" s="65">
        <v>0.04</v>
      </c>
      <c r="K154" s="21">
        <f t="shared" si="12"/>
        <v>4.3840000000000003</v>
      </c>
      <c r="L154" s="21">
        <f t="shared" si="10"/>
        <v>1.3152000000000001</v>
      </c>
      <c r="M154" s="21">
        <f t="shared" si="11"/>
        <v>1.7536</v>
      </c>
      <c r="N154" s="21">
        <f t="shared" si="14"/>
        <v>7.4527999999999999</v>
      </c>
    </row>
    <row r="155" spans="1:14" x14ac:dyDescent="0.3">
      <c r="A155" s="72">
        <f t="shared" si="13"/>
        <v>152</v>
      </c>
      <c r="B155" s="64">
        <v>48</v>
      </c>
      <c r="C155" s="73" t="s">
        <v>396</v>
      </c>
      <c r="D155" s="64" t="s">
        <v>397</v>
      </c>
      <c r="E155" s="74">
        <v>5297</v>
      </c>
      <c r="F155" s="64">
        <v>5297</v>
      </c>
      <c r="G155" s="74">
        <v>10</v>
      </c>
      <c r="H155" s="64">
        <v>10</v>
      </c>
      <c r="I155" s="64">
        <v>100</v>
      </c>
      <c r="J155" s="65">
        <v>0.04</v>
      </c>
      <c r="K155" s="21">
        <f t="shared" si="12"/>
        <v>5.2969999999999997</v>
      </c>
      <c r="L155" s="21">
        <f t="shared" si="10"/>
        <v>1.5891</v>
      </c>
      <c r="M155" s="21">
        <f t="shared" si="11"/>
        <v>2.1187999999999998</v>
      </c>
      <c r="N155" s="21">
        <f t="shared" si="14"/>
        <v>9.0048999999999992</v>
      </c>
    </row>
    <row r="156" spans="1:14" x14ac:dyDescent="0.3">
      <c r="A156" s="72">
        <f t="shared" si="13"/>
        <v>153</v>
      </c>
      <c r="B156" s="64">
        <v>48</v>
      </c>
      <c r="C156" s="73" t="s">
        <v>396</v>
      </c>
      <c r="D156" s="64" t="s">
        <v>348</v>
      </c>
      <c r="E156" s="74">
        <v>6210</v>
      </c>
      <c r="F156" s="64">
        <v>6210</v>
      </c>
      <c r="G156" s="74">
        <v>10</v>
      </c>
      <c r="H156" s="64">
        <v>10</v>
      </c>
      <c r="I156" s="64">
        <v>100</v>
      </c>
      <c r="J156" s="65">
        <v>0.04</v>
      </c>
      <c r="K156" s="21">
        <f t="shared" si="12"/>
        <v>6.21</v>
      </c>
      <c r="L156" s="21">
        <f t="shared" si="10"/>
        <v>1.863</v>
      </c>
      <c r="M156" s="21">
        <f t="shared" si="11"/>
        <v>2.484</v>
      </c>
      <c r="N156" s="21">
        <f t="shared" si="14"/>
        <v>10.557</v>
      </c>
    </row>
    <row r="157" spans="1:14" x14ac:dyDescent="0.3">
      <c r="A157" s="72">
        <f t="shared" si="13"/>
        <v>154</v>
      </c>
      <c r="B157" s="64">
        <v>49</v>
      </c>
      <c r="C157" s="73" t="s">
        <v>398</v>
      </c>
      <c r="D157" s="64" t="s">
        <v>256</v>
      </c>
      <c r="E157" s="74">
        <v>1517</v>
      </c>
      <c r="F157" s="64">
        <v>1517</v>
      </c>
      <c r="G157" s="74">
        <v>10</v>
      </c>
      <c r="H157" s="64">
        <v>10</v>
      </c>
      <c r="I157" s="64">
        <v>100</v>
      </c>
      <c r="J157" s="65">
        <v>0.16</v>
      </c>
      <c r="K157" s="21">
        <f t="shared" si="12"/>
        <v>1.5169999999999999</v>
      </c>
      <c r="L157" s="21">
        <f t="shared" si="10"/>
        <v>0.4551</v>
      </c>
      <c r="M157" s="21">
        <f t="shared" si="11"/>
        <v>2.4272</v>
      </c>
      <c r="N157" s="21">
        <f t="shared" si="14"/>
        <v>4.3993000000000002</v>
      </c>
    </row>
    <row r="158" spans="1:14" x14ac:dyDescent="0.3">
      <c r="A158" s="72">
        <f t="shared" si="13"/>
        <v>155</v>
      </c>
      <c r="B158" s="64">
        <v>49</v>
      </c>
      <c r="C158" s="73" t="s">
        <v>398</v>
      </c>
      <c r="D158" s="64" t="s">
        <v>347</v>
      </c>
      <c r="E158" s="74">
        <v>1591</v>
      </c>
      <c r="F158" s="64">
        <v>1591</v>
      </c>
      <c r="G158" s="74">
        <v>10</v>
      </c>
      <c r="H158" s="64">
        <v>10</v>
      </c>
      <c r="I158" s="64">
        <v>100</v>
      </c>
      <c r="J158" s="65">
        <v>0.16</v>
      </c>
      <c r="K158" s="21">
        <f t="shared" si="12"/>
        <v>1.591</v>
      </c>
      <c r="L158" s="21">
        <f t="shared" si="10"/>
        <v>0.4773</v>
      </c>
      <c r="M158" s="21">
        <f t="shared" si="11"/>
        <v>2.5455999999999999</v>
      </c>
      <c r="N158" s="21">
        <f t="shared" si="14"/>
        <v>4.6138999999999992</v>
      </c>
    </row>
    <row r="159" spans="1:14" x14ac:dyDescent="0.3">
      <c r="A159" s="72">
        <f t="shared" si="13"/>
        <v>156</v>
      </c>
      <c r="B159" s="64">
        <v>50</v>
      </c>
      <c r="C159" s="73" t="s">
        <v>399</v>
      </c>
      <c r="D159" s="64" t="s">
        <v>256</v>
      </c>
      <c r="E159" s="74">
        <v>2265</v>
      </c>
      <c r="F159" s="64">
        <v>2265</v>
      </c>
      <c r="G159" s="74">
        <v>10</v>
      </c>
      <c r="H159" s="64">
        <v>10</v>
      </c>
      <c r="I159" s="64">
        <v>100</v>
      </c>
      <c r="J159" s="65">
        <v>0.11</v>
      </c>
      <c r="K159" s="21">
        <f t="shared" si="12"/>
        <v>2.2650000000000001</v>
      </c>
      <c r="L159" s="21">
        <f t="shared" si="10"/>
        <v>0.67949999999999988</v>
      </c>
      <c r="M159" s="21">
        <f t="shared" si="11"/>
        <v>2.4915000000000003</v>
      </c>
      <c r="N159" s="21">
        <f t="shared" si="14"/>
        <v>5.4359999999999999</v>
      </c>
    </row>
    <row r="160" spans="1:14" x14ac:dyDescent="0.3">
      <c r="A160" s="72">
        <f t="shared" si="13"/>
        <v>157</v>
      </c>
      <c r="B160" s="64">
        <v>50</v>
      </c>
      <c r="C160" s="73" t="s">
        <v>399</v>
      </c>
      <c r="D160" s="64" t="s">
        <v>347</v>
      </c>
      <c r="E160" s="74">
        <v>2375</v>
      </c>
      <c r="F160" s="64">
        <v>2375</v>
      </c>
      <c r="G160" s="74">
        <v>10</v>
      </c>
      <c r="H160" s="64">
        <v>10</v>
      </c>
      <c r="I160" s="64">
        <v>100</v>
      </c>
      <c r="J160" s="65">
        <v>0.11</v>
      </c>
      <c r="K160" s="21">
        <f t="shared" si="12"/>
        <v>2.375</v>
      </c>
      <c r="L160" s="21">
        <f t="shared" si="10"/>
        <v>0.71250000000000002</v>
      </c>
      <c r="M160" s="21">
        <f t="shared" si="11"/>
        <v>2.6124999999999998</v>
      </c>
      <c r="N160" s="21">
        <f t="shared" si="14"/>
        <v>5.6999999999999993</v>
      </c>
    </row>
    <row r="161" spans="1:14" x14ac:dyDescent="0.3">
      <c r="A161" s="72">
        <f t="shared" si="13"/>
        <v>158</v>
      </c>
      <c r="B161" s="64">
        <v>51</v>
      </c>
      <c r="C161" s="73" t="s">
        <v>400</v>
      </c>
      <c r="D161" s="64" t="s">
        <v>397</v>
      </c>
      <c r="E161" s="74">
        <v>11215</v>
      </c>
      <c r="F161" s="64">
        <v>11215</v>
      </c>
      <c r="G161" s="74">
        <v>10</v>
      </c>
      <c r="H161" s="64">
        <v>10</v>
      </c>
      <c r="I161" s="64">
        <v>100</v>
      </c>
      <c r="J161" s="65">
        <v>0.04</v>
      </c>
      <c r="K161" s="21">
        <f t="shared" si="12"/>
        <v>11.215</v>
      </c>
      <c r="L161" s="21">
        <f t="shared" si="10"/>
        <v>3.3645</v>
      </c>
      <c r="M161" s="21">
        <f t="shared" si="11"/>
        <v>4.4860000000000007</v>
      </c>
      <c r="N161" s="21">
        <f t="shared" si="14"/>
        <v>19.0655</v>
      </c>
    </row>
    <row r="162" spans="1:14" x14ac:dyDescent="0.3">
      <c r="A162" s="72">
        <f t="shared" si="13"/>
        <v>159</v>
      </c>
      <c r="B162" s="64">
        <v>52</v>
      </c>
      <c r="C162" s="73" t="s">
        <v>401</v>
      </c>
      <c r="D162" s="64" t="s">
        <v>391</v>
      </c>
      <c r="E162" s="74">
        <v>15927</v>
      </c>
      <c r="F162" s="64">
        <v>15927</v>
      </c>
      <c r="G162" s="74">
        <v>10</v>
      </c>
      <c r="H162" s="64">
        <v>10</v>
      </c>
      <c r="I162" s="64">
        <v>100</v>
      </c>
      <c r="J162" s="65">
        <v>0.04</v>
      </c>
      <c r="K162" s="21">
        <f t="shared" si="12"/>
        <v>15.927</v>
      </c>
      <c r="L162" s="21">
        <f t="shared" si="10"/>
        <v>4.7781000000000002</v>
      </c>
      <c r="M162" s="21">
        <f t="shared" si="11"/>
        <v>6.3708</v>
      </c>
      <c r="N162" s="21">
        <f t="shared" si="14"/>
        <v>27.075900000000001</v>
      </c>
    </row>
    <row r="163" spans="1:14" x14ac:dyDescent="0.3">
      <c r="A163" s="72">
        <f t="shared" si="13"/>
        <v>160</v>
      </c>
      <c r="B163" s="64">
        <v>53</v>
      </c>
      <c r="C163" s="73" t="s">
        <v>402</v>
      </c>
      <c r="D163" s="64" t="s">
        <v>261</v>
      </c>
      <c r="E163" s="74">
        <v>840</v>
      </c>
      <c r="F163" s="64">
        <v>840</v>
      </c>
      <c r="G163" s="74">
        <v>10</v>
      </c>
      <c r="H163" s="64">
        <v>10</v>
      </c>
      <c r="I163" s="64">
        <v>100</v>
      </c>
      <c r="J163" s="65">
        <v>0.16</v>
      </c>
      <c r="K163" s="21">
        <f t="shared" si="12"/>
        <v>0.84</v>
      </c>
      <c r="L163" s="21">
        <f t="shared" si="10"/>
        <v>0.252</v>
      </c>
      <c r="M163" s="21">
        <f t="shared" si="11"/>
        <v>1.3440000000000001</v>
      </c>
      <c r="N163" s="21">
        <f t="shared" si="14"/>
        <v>2.4359999999999999</v>
      </c>
    </row>
    <row r="164" spans="1:14" x14ac:dyDescent="0.3">
      <c r="A164" s="72">
        <f t="shared" si="13"/>
        <v>161</v>
      </c>
      <c r="B164" s="64">
        <v>54</v>
      </c>
      <c r="C164" s="73" t="s">
        <v>403</v>
      </c>
      <c r="D164" s="64" t="s">
        <v>404</v>
      </c>
      <c r="E164" s="74">
        <v>15197</v>
      </c>
      <c r="F164" s="64">
        <v>15197</v>
      </c>
      <c r="G164" s="74">
        <v>10</v>
      </c>
      <c r="H164" s="64">
        <v>10</v>
      </c>
      <c r="I164" s="64">
        <v>100</v>
      </c>
      <c r="J164" s="65">
        <v>0.04</v>
      </c>
      <c r="K164" s="21">
        <f t="shared" si="12"/>
        <v>15.196999999999999</v>
      </c>
      <c r="L164" s="21">
        <f t="shared" si="10"/>
        <v>4.5590999999999999</v>
      </c>
      <c r="M164" s="21">
        <f t="shared" si="11"/>
        <v>6.0788000000000002</v>
      </c>
      <c r="N164" s="21">
        <f t="shared" si="14"/>
        <v>25.834900000000001</v>
      </c>
    </row>
    <row r="165" spans="1:14" x14ac:dyDescent="0.3">
      <c r="A165" s="72">
        <f t="shared" si="13"/>
        <v>162</v>
      </c>
      <c r="B165" s="64">
        <v>55</v>
      </c>
      <c r="C165" s="73" t="s">
        <v>405</v>
      </c>
      <c r="D165" s="64" t="s">
        <v>406</v>
      </c>
      <c r="E165" s="74">
        <v>19507</v>
      </c>
      <c r="F165" s="64">
        <v>19507</v>
      </c>
      <c r="G165" s="74">
        <v>10</v>
      </c>
      <c r="H165" s="64">
        <v>10</v>
      </c>
      <c r="I165" s="64">
        <v>100</v>
      </c>
      <c r="J165" s="65">
        <v>0.04</v>
      </c>
      <c r="K165" s="21">
        <f t="shared" si="12"/>
        <v>19.507000000000001</v>
      </c>
      <c r="L165" s="21">
        <f t="shared" si="10"/>
        <v>5.8520999999999992</v>
      </c>
      <c r="M165" s="21">
        <f t="shared" si="11"/>
        <v>7.8027999999999995</v>
      </c>
      <c r="N165" s="21">
        <f t="shared" si="14"/>
        <v>33.161900000000003</v>
      </c>
    </row>
    <row r="166" spans="1:14" x14ac:dyDescent="0.3">
      <c r="A166" s="72">
        <f t="shared" si="13"/>
        <v>163</v>
      </c>
      <c r="B166" s="64">
        <v>55</v>
      </c>
      <c r="C166" s="73" t="s">
        <v>405</v>
      </c>
      <c r="D166" s="64" t="s">
        <v>407</v>
      </c>
      <c r="E166" s="74">
        <v>21590</v>
      </c>
      <c r="F166" s="64">
        <v>21590</v>
      </c>
      <c r="G166" s="74">
        <v>10</v>
      </c>
      <c r="H166" s="64">
        <v>10</v>
      </c>
      <c r="I166" s="64">
        <v>100</v>
      </c>
      <c r="J166" s="65">
        <v>0.04</v>
      </c>
      <c r="K166" s="21">
        <f t="shared" si="12"/>
        <v>21.59</v>
      </c>
      <c r="L166" s="21">
        <f t="shared" si="10"/>
        <v>6.4770000000000003</v>
      </c>
      <c r="M166" s="21">
        <f t="shared" si="11"/>
        <v>8.636000000000001</v>
      </c>
      <c r="N166" s="21">
        <f t="shared" si="14"/>
        <v>36.703000000000003</v>
      </c>
    </row>
    <row r="167" spans="1:14" x14ac:dyDescent="0.3">
      <c r="A167" s="72">
        <f t="shared" si="13"/>
        <v>164</v>
      </c>
      <c r="B167" s="64">
        <v>56</v>
      </c>
      <c r="C167" s="73" t="s">
        <v>408</v>
      </c>
      <c r="D167" s="64" t="s">
        <v>409</v>
      </c>
      <c r="E167" s="74">
        <v>3478</v>
      </c>
      <c r="F167" s="64">
        <v>3470</v>
      </c>
      <c r="G167" s="74">
        <v>10</v>
      </c>
      <c r="H167" s="64">
        <v>10</v>
      </c>
      <c r="I167" s="64">
        <v>100</v>
      </c>
      <c r="J167" s="65">
        <v>0.03</v>
      </c>
      <c r="K167" s="21">
        <f t="shared" si="12"/>
        <v>3.47</v>
      </c>
      <c r="L167" s="21">
        <f t="shared" si="10"/>
        <v>1.0410000000000001</v>
      </c>
      <c r="M167" s="21">
        <f t="shared" si="11"/>
        <v>1.0409999999999999</v>
      </c>
      <c r="N167" s="21">
        <f t="shared" si="14"/>
        <v>5.5519999999999996</v>
      </c>
    </row>
    <row r="168" spans="1:14" x14ac:dyDescent="0.3">
      <c r="A168" s="72">
        <f t="shared" si="13"/>
        <v>165</v>
      </c>
      <c r="B168" s="64">
        <v>56</v>
      </c>
      <c r="C168" s="73" t="s">
        <v>408</v>
      </c>
      <c r="D168" s="64" t="s">
        <v>410</v>
      </c>
      <c r="E168" s="74">
        <v>4418</v>
      </c>
      <c r="F168" s="64">
        <v>4418</v>
      </c>
      <c r="G168" s="74">
        <v>10</v>
      </c>
      <c r="H168" s="64">
        <v>10</v>
      </c>
      <c r="I168" s="64">
        <v>100</v>
      </c>
      <c r="J168" s="65">
        <v>0.03</v>
      </c>
      <c r="K168" s="21">
        <f t="shared" si="12"/>
        <v>4.4180000000000001</v>
      </c>
      <c r="L168" s="21">
        <f t="shared" si="10"/>
        <v>1.3253999999999999</v>
      </c>
      <c r="M168" s="21">
        <f t="shared" si="11"/>
        <v>1.3253999999999999</v>
      </c>
      <c r="N168" s="21">
        <f t="shared" si="14"/>
        <v>7.0688000000000004</v>
      </c>
    </row>
    <row r="169" spans="1:14" x14ac:dyDescent="0.3">
      <c r="A169" s="72">
        <f t="shared" si="13"/>
        <v>166</v>
      </c>
      <c r="B169" s="64">
        <v>56</v>
      </c>
      <c r="C169" s="73" t="s">
        <v>408</v>
      </c>
      <c r="D169" s="64" t="s">
        <v>411</v>
      </c>
      <c r="E169" s="74">
        <v>5172</v>
      </c>
      <c r="F169" s="64">
        <v>5172</v>
      </c>
      <c r="G169" s="74">
        <v>10</v>
      </c>
      <c r="H169" s="64">
        <v>10</v>
      </c>
      <c r="I169" s="64">
        <v>100</v>
      </c>
      <c r="J169" s="65">
        <v>0.03</v>
      </c>
      <c r="K169" s="21">
        <f t="shared" si="12"/>
        <v>5.1719999999999997</v>
      </c>
      <c r="L169" s="21">
        <f t="shared" si="10"/>
        <v>1.5515999999999999</v>
      </c>
      <c r="M169" s="21">
        <f t="shared" si="11"/>
        <v>1.5515999999999999</v>
      </c>
      <c r="N169" s="21">
        <f t="shared" si="14"/>
        <v>8.2751999999999999</v>
      </c>
    </row>
    <row r="170" spans="1:14" x14ac:dyDescent="0.3">
      <c r="A170" s="72">
        <f t="shared" si="13"/>
        <v>167</v>
      </c>
      <c r="B170" s="64">
        <v>56</v>
      </c>
      <c r="C170" s="73" t="s">
        <v>408</v>
      </c>
      <c r="D170" s="64" t="s">
        <v>249</v>
      </c>
      <c r="E170" s="74">
        <v>5831</v>
      </c>
      <c r="F170" s="64">
        <v>5831</v>
      </c>
      <c r="G170" s="74">
        <v>10</v>
      </c>
      <c r="H170" s="64">
        <v>10</v>
      </c>
      <c r="I170" s="64">
        <v>100</v>
      </c>
      <c r="J170" s="65">
        <v>0.03</v>
      </c>
      <c r="K170" s="21">
        <f t="shared" si="12"/>
        <v>5.8310000000000004</v>
      </c>
      <c r="L170" s="21">
        <f t="shared" si="10"/>
        <v>1.7493000000000001</v>
      </c>
      <c r="M170" s="21">
        <f t="shared" si="11"/>
        <v>1.7493000000000001</v>
      </c>
      <c r="N170" s="21">
        <f t="shared" si="14"/>
        <v>9.329600000000001</v>
      </c>
    </row>
    <row r="171" spans="1:14" x14ac:dyDescent="0.3">
      <c r="A171" s="72">
        <f t="shared" si="13"/>
        <v>168</v>
      </c>
      <c r="B171" s="64">
        <v>56</v>
      </c>
      <c r="C171" s="73" t="s">
        <v>408</v>
      </c>
      <c r="D171" s="64" t="s">
        <v>412</v>
      </c>
      <c r="E171" s="74">
        <v>6771</v>
      </c>
      <c r="F171" s="64">
        <v>6771</v>
      </c>
      <c r="G171" s="74">
        <v>10</v>
      </c>
      <c r="H171" s="64">
        <v>10</v>
      </c>
      <c r="I171" s="64">
        <v>100</v>
      </c>
      <c r="J171" s="65">
        <v>0.03</v>
      </c>
      <c r="K171" s="21">
        <f t="shared" si="12"/>
        <v>6.7709999999999999</v>
      </c>
      <c r="L171" s="21">
        <f t="shared" si="10"/>
        <v>2.0312999999999999</v>
      </c>
      <c r="M171" s="21">
        <f t="shared" si="11"/>
        <v>2.0312999999999999</v>
      </c>
      <c r="N171" s="21">
        <f t="shared" si="14"/>
        <v>10.833599999999999</v>
      </c>
    </row>
    <row r="172" spans="1:14" x14ac:dyDescent="0.3">
      <c r="A172" s="72">
        <f t="shared" si="13"/>
        <v>169</v>
      </c>
      <c r="B172" s="64">
        <v>56</v>
      </c>
      <c r="C172" s="73" t="s">
        <v>408</v>
      </c>
      <c r="D172" s="64" t="s">
        <v>413</v>
      </c>
      <c r="E172" s="74">
        <v>7710</v>
      </c>
      <c r="F172" s="64">
        <v>7710</v>
      </c>
      <c r="G172" s="74">
        <v>10</v>
      </c>
      <c r="H172" s="64">
        <v>10</v>
      </c>
      <c r="I172" s="64">
        <v>100</v>
      </c>
      <c r="J172" s="65">
        <v>0.03</v>
      </c>
      <c r="K172" s="21">
        <f t="shared" si="12"/>
        <v>7.71</v>
      </c>
      <c r="L172" s="21">
        <f t="shared" si="10"/>
        <v>2.3129999999999997</v>
      </c>
      <c r="M172" s="21">
        <f t="shared" si="11"/>
        <v>2.3129999999999997</v>
      </c>
      <c r="N172" s="21">
        <f t="shared" si="14"/>
        <v>12.335999999999999</v>
      </c>
    </row>
    <row r="173" spans="1:14" x14ac:dyDescent="0.3">
      <c r="A173" s="72">
        <f t="shared" si="13"/>
        <v>170</v>
      </c>
      <c r="B173" s="64">
        <v>56</v>
      </c>
      <c r="C173" s="73" t="s">
        <v>408</v>
      </c>
      <c r="D173" s="64" t="s">
        <v>414</v>
      </c>
      <c r="E173" s="74">
        <v>8650</v>
      </c>
      <c r="F173" s="64">
        <v>8650</v>
      </c>
      <c r="G173" s="74">
        <v>10</v>
      </c>
      <c r="H173" s="64">
        <v>10</v>
      </c>
      <c r="I173" s="64">
        <v>100</v>
      </c>
      <c r="J173" s="65">
        <v>0.03</v>
      </c>
      <c r="K173" s="21">
        <f t="shared" si="12"/>
        <v>8.65</v>
      </c>
      <c r="L173" s="21">
        <f t="shared" si="10"/>
        <v>2.5949999999999998</v>
      </c>
      <c r="M173" s="21">
        <f t="shared" si="11"/>
        <v>2.5950000000000002</v>
      </c>
      <c r="N173" s="21">
        <f t="shared" si="14"/>
        <v>13.840000000000002</v>
      </c>
    </row>
    <row r="174" spans="1:14" x14ac:dyDescent="0.3">
      <c r="A174" s="72">
        <f t="shared" si="13"/>
        <v>171</v>
      </c>
      <c r="B174" s="64">
        <v>56</v>
      </c>
      <c r="C174" s="73" t="s">
        <v>408</v>
      </c>
      <c r="D174" s="64" t="s">
        <v>415</v>
      </c>
      <c r="E174" s="74">
        <v>10063</v>
      </c>
      <c r="F174" s="64">
        <v>10063</v>
      </c>
      <c r="G174" s="74">
        <v>10</v>
      </c>
      <c r="H174" s="64">
        <v>10</v>
      </c>
      <c r="I174" s="64">
        <v>100</v>
      </c>
      <c r="J174" s="65">
        <v>0.03</v>
      </c>
      <c r="K174" s="21">
        <f t="shared" si="12"/>
        <v>10.063000000000001</v>
      </c>
      <c r="L174" s="21">
        <f t="shared" si="10"/>
        <v>3.0188999999999999</v>
      </c>
      <c r="M174" s="21">
        <f t="shared" si="11"/>
        <v>3.0188999999999999</v>
      </c>
      <c r="N174" s="21">
        <f t="shared" si="14"/>
        <v>16.1008</v>
      </c>
    </row>
    <row r="175" spans="1:14" x14ac:dyDescent="0.3">
      <c r="A175" s="72">
        <f t="shared" si="13"/>
        <v>172</v>
      </c>
      <c r="B175" s="64">
        <v>56</v>
      </c>
      <c r="C175" s="73" t="s">
        <v>408</v>
      </c>
      <c r="D175" s="64" t="s">
        <v>416</v>
      </c>
      <c r="E175" s="74">
        <v>11476</v>
      </c>
      <c r="F175" s="64">
        <v>11476</v>
      </c>
      <c r="G175" s="74">
        <v>10</v>
      </c>
      <c r="H175" s="64">
        <v>10</v>
      </c>
      <c r="I175" s="64">
        <v>100</v>
      </c>
      <c r="J175" s="65">
        <v>0.03</v>
      </c>
      <c r="K175" s="21">
        <f t="shared" si="12"/>
        <v>11.476000000000001</v>
      </c>
      <c r="L175" s="21">
        <f t="shared" si="10"/>
        <v>3.4428000000000001</v>
      </c>
      <c r="M175" s="21">
        <f t="shared" si="11"/>
        <v>3.4427999999999996</v>
      </c>
      <c r="N175" s="21">
        <f t="shared" si="14"/>
        <v>18.361599999999999</v>
      </c>
    </row>
    <row r="176" spans="1:14" x14ac:dyDescent="0.3">
      <c r="A176" s="72">
        <f t="shared" si="13"/>
        <v>173</v>
      </c>
      <c r="B176" s="64">
        <v>57</v>
      </c>
      <c r="C176" s="73" t="s">
        <v>417</v>
      </c>
      <c r="D176" s="64" t="s">
        <v>409</v>
      </c>
      <c r="E176" s="74">
        <v>2576</v>
      </c>
      <c r="F176" s="64">
        <v>2576</v>
      </c>
      <c r="G176" s="74">
        <v>10</v>
      </c>
      <c r="H176" s="64">
        <v>10</v>
      </c>
      <c r="I176" s="64">
        <v>100</v>
      </c>
      <c r="J176" s="65">
        <v>0.03</v>
      </c>
      <c r="K176" s="21">
        <f t="shared" si="12"/>
        <v>2.5760000000000001</v>
      </c>
      <c r="L176" s="21">
        <f t="shared" si="10"/>
        <v>0.77280000000000004</v>
      </c>
      <c r="M176" s="21">
        <f t="shared" si="11"/>
        <v>0.77280000000000004</v>
      </c>
      <c r="N176" s="21">
        <f t="shared" si="14"/>
        <v>4.1215999999999999</v>
      </c>
    </row>
    <row r="177" spans="1:14" x14ac:dyDescent="0.3">
      <c r="A177" s="72">
        <f t="shared" si="13"/>
        <v>174</v>
      </c>
      <c r="B177" s="64">
        <v>57</v>
      </c>
      <c r="C177" s="73" t="s">
        <v>417</v>
      </c>
      <c r="D177" s="64" t="s">
        <v>410</v>
      </c>
      <c r="E177" s="74">
        <v>3273</v>
      </c>
      <c r="F177" s="64">
        <v>3273</v>
      </c>
      <c r="G177" s="74">
        <v>10</v>
      </c>
      <c r="H177" s="64">
        <v>10</v>
      </c>
      <c r="I177" s="64">
        <v>100</v>
      </c>
      <c r="J177" s="65">
        <v>0.03</v>
      </c>
      <c r="K177" s="21">
        <f t="shared" si="12"/>
        <v>3.2730000000000001</v>
      </c>
      <c r="L177" s="21">
        <f t="shared" si="10"/>
        <v>0.98189999999999988</v>
      </c>
      <c r="M177" s="21">
        <f t="shared" si="11"/>
        <v>0.9819</v>
      </c>
      <c r="N177" s="21">
        <f t="shared" si="14"/>
        <v>5.2368000000000006</v>
      </c>
    </row>
    <row r="178" spans="1:14" x14ac:dyDescent="0.3">
      <c r="A178" s="72">
        <f t="shared" si="13"/>
        <v>175</v>
      </c>
      <c r="B178" s="64">
        <v>57</v>
      </c>
      <c r="C178" s="73" t="s">
        <v>417</v>
      </c>
      <c r="D178" s="64" t="s">
        <v>411</v>
      </c>
      <c r="E178" s="74">
        <v>3831</v>
      </c>
      <c r="F178" s="64">
        <v>3831</v>
      </c>
      <c r="G178" s="74">
        <v>10</v>
      </c>
      <c r="H178" s="64">
        <v>10</v>
      </c>
      <c r="I178" s="64">
        <v>100</v>
      </c>
      <c r="J178" s="65">
        <v>0.03</v>
      </c>
      <c r="K178" s="21">
        <f t="shared" si="12"/>
        <v>3.831</v>
      </c>
      <c r="L178" s="21">
        <f t="shared" si="10"/>
        <v>1.1493</v>
      </c>
      <c r="M178" s="21">
        <f t="shared" si="11"/>
        <v>1.1493</v>
      </c>
      <c r="N178" s="21">
        <f t="shared" si="14"/>
        <v>6.1295999999999999</v>
      </c>
    </row>
    <row r="179" spans="1:14" x14ac:dyDescent="0.3">
      <c r="A179" s="72">
        <f t="shared" si="13"/>
        <v>176</v>
      </c>
      <c r="B179" s="64">
        <v>57</v>
      </c>
      <c r="C179" s="73" t="s">
        <v>417</v>
      </c>
      <c r="D179" s="64" t="s">
        <v>249</v>
      </c>
      <c r="E179" s="74">
        <v>4319</v>
      </c>
      <c r="F179" s="64">
        <v>4319</v>
      </c>
      <c r="G179" s="74">
        <v>10</v>
      </c>
      <c r="H179" s="64">
        <v>10</v>
      </c>
      <c r="I179" s="64">
        <v>100</v>
      </c>
      <c r="J179" s="65">
        <v>0.03</v>
      </c>
      <c r="K179" s="21">
        <f t="shared" si="12"/>
        <v>4.319</v>
      </c>
      <c r="L179" s="21">
        <f t="shared" si="10"/>
        <v>1.2956999999999999</v>
      </c>
      <c r="M179" s="21">
        <f t="shared" si="11"/>
        <v>1.2956999999999999</v>
      </c>
      <c r="N179" s="21">
        <f t="shared" si="14"/>
        <v>6.9104000000000001</v>
      </c>
    </row>
    <row r="180" spans="1:14" x14ac:dyDescent="0.3">
      <c r="A180" s="72">
        <f t="shared" si="13"/>
        <v>177</v>
      </c>
      <c r="B180" s="64">
        <v>57</v>
      </c>
      <c r="C180" s="73" t="s">
        <v>417</v>
      </c>
      <c r="D180" s="64" t="s">
        <v>412</v>
      </c>
      <c r="E180" s="74">
        <v>5015</v>
      </c>
      <c r="F180" s="64">
        <v>5015</v>
      </c>
      <c r="G180" s="74">
        <v>10</v>
      </c>
      <c r="H180" s="64">
        <v>10</v>
      </c>
      <c r="I180" s="64">
        <v>100</v>
      </c>
      <c r="J180" s="65">
        <v>0.03</v>
      </c>
      <c r="K180" s="21">
        <f t="shared" si="12"/>
        <v>5.0149999999999997</v>
      </c>
      <c r="L180" s="21">
        <f t="shared" si="10"/>
        <v>1.5044999999999999</v>
      </c>
      <c r="M180" s="21">
        <f t="shared" si="11"/>
        <v>1.5044999999999999</v>
      </c>
      <c r="N180" s="21">
        <f t="shared" si="14"/>
        <v>8.0239999999999991</v>
      </c>
    </row>
    <row r="181" spans="1:14" x14ac:dyDescent="0.3">
      <c r="A181" s="72">
        <f t="shared" si="13"/>
        <v>178</v>
      </c>
      <c r="B181" s="64">
        <v>57</v>
      </c>
      <c r="C181" s="73" t="s">
        <v>417</v>
      </c>
      <c r="D181" s="64" t="s">
        <v>413</v>
      </c>
      <c r="E181" s="74">
        <v>5711</v>
      </c>
      <c r="F181" s="64">
        <v>5711</v>
      </c>
      <c r="G181" s="74">
        <v>10</v>
      </c>
      <c r="H181" s="64">
        <v>10</v>
      </c>
      <c r="I181" s="64">
        <v>100</v>
      </c>
      <c r="J181" s="65">
        <v>0.03</v>
      </c>
      <c r="K181" s="21">
        <f t="shared" si="12"/>
        <v>5.7110000000000003</v>
      </c>
      <c r="L181" s="21">
        <f t="shared" si="10"/>
        <v>1.7132999999999998</v>
      </c>
      <c r="M181" s="21">
        <f t="shared" si="11"/>
        <v>1.7132999999999998</v>
      </c>
      <c r="N181" s="21">
        <f t="shared" si="14"/>
        <v>9.1376000000000008</v>
      </c>
    </row>
    <row r="182" spans="1:14" x14ac:dyDescent="0.3">
      <c r="A182" s="72">
        <f t="shared" si="13"/>
        <v>179</v>
      </c>
      <c r="B182" s="64">
        <v>57</v>
      </c>
      <c r="C182" s="73" t="s">
        <v>417</v>
      </c>
      <c r="D182" s="64" t="s">
        <v>414</v>
      </c>
      <c r="E182" s="74">
        <v>6408</v>
      </c>
      <c r="F182" s="64">
        <v>6408</v>
      </c>
      <c r="G182" s="74">
        <v>10</v>
      </c>
      <c r="H182" s="64">
        <v>10</v>
      </c>
      <c r="I182" s="64">
        <v>100</v>
      </c>
      <c r="J182" s="65">
        <v>0.03</v>
      </c>
      <c r="K182" s="21">
        <f t="shared" si="12"/>
        <v>6.4080000000000004</v>
      </c>
      <c r="L182" s="21">
        <f t="shared" si="10"/>
        <v>1.9223999999999999</v>
      </c>
      <c r="M182" s="21">
        <f t="shared" si="11"/>
        <v>1.9223999999999999</v>
      </c>
      <c r="N182" s="21">
        <f t="shared" si="14"/>
        <v>10.252800000000001</v>
      </c>
    </row>
    <row r="183" spans="1:14" x14ac:dyDescent="0.3">
      <c r="A183" s="72">
        <f t="shared" si="13"/>
        <v>180</v>
      </c>
      <c r="B183" s="64">
        <v>57</v>
      </c>
      <c r="C183" s="73" t="s">
        <v>417</v>
      </c>
      <c r="D183" s="64" t="s">
        <v>415</v>
      </c>
      <c r="E183" s="74">
        <v>7454</v>
      </c>
      <c r="F183" s="64">
        <v>7454</v>
      </c>
      <c r="G183" s="74">
        <v>10</v>
      </c>
      <c r="H183" s="64">
        <v>10</v>
      </c>
      <c r="I183" s="64">
        <v>100</v>
      </c>
      <c r="J183" s="65">
        <v>0.03</v>
      </c>
      <c r="K183" s="21">
        <f t="shared" si="12"/>
        <v>7.4539999999999997</v>
      </c>
      <c r="L183" s="21">
        <f t="shared" si="10"/>
        <v>2.2362000000000002</v>
      </c>
      <c r="M183" s="21">
        <f t="shared" si="11"/>
        <v>2.2362000000000002</v>
      </c>
      <c r="N183" s="21">
        <f t="shared" si="14"/>
        <v>11.926400000000001</v>
      </c>
    </row>
    <row r="184" spans="1:14" x14ac:dyDescent="0.3">
      <c r="A184" s="72">
        <f t="shared" si="13"/>
        <v>181</v>
      </c>
      <c r="B184" s="64">
        <v>57</v>
      </c>
      <c r="C184" s="73" t="s">
        <v>417</v>
      </c>
      <c r="D184" s="64" t="s">
        <v>416</v>
      </c>
      <c r="E184" s="74">
        <v>8500</v>
      </c>
      <c r="F184" s="64">
        <v>8500</v>
      </c>
      <c r="G184" s="74">
        <v>10</v>
      </c>
      <c r="H184" s="64">
        <v>10</v>
      </c>
      <c r="I184" s="64">
        <v>100</v>
      </c>
      <c r="J184" s="65">
        <v>0.03</v>
      </c>
      <c r="K184" s="21">
        <f t="shared" si="12"/>
        <v>8.5</v>
      </c>
      <c r="L184" s="21">
        <f t="shared" si="10"/>
        <v>2.5499999999999998</v>
      </c>
      <c r="M184" s="21">
        <f t="shared" si="11"/>
        <v>2.5499999999999998</v>
      </c>
      <c r="N184" s="21">
        <f t="shared" si="14"/>
        <v>13.600000000000001</v>
      </c>
    </row>
    <row r="185" spans="1:14" x14ac:dyDescent="0.3">
      <c r="A185" s="72">
        <f t="shared" si="13"/>
        <v>182</v>
      </c>
      <c r="B185" s="64">
        <v>58</v>
      </c>
      <c r="C185" s="73" t="s">
        <v>418</v>
      </c>
      <c r="D185" s="64" t="s">
        <v>394</v>
      </c>
      <c r="E185" s="74">
        <v>1607</v>
      </c>
      <c r="F185" s="64">
        <v>1607</v>
      </c>
      <c r="G185" s="74">
        <v>10</v>
      </c>
      <c r="H185" s="64">
        <v>10</v>
      </c>
      <c r="I185" s="64">
        <v>100</v>
      </c>
      <c r="J185" s="65">
        <v>0.04</v>
      </c>
      <c r="K185" s="21">
        <f t="shared" si="12"/>
        <v>1.607</v>
      </c>
      <c r="L185" s="21">
        <f t="shared" si="10"/>
        <v>0.48209999999999997</v>
      </c>
      <c r="M185" s="21">
        <f t="shared" si="11"/>
        <v>0.64280000000000004</v>
      </c>
      <c r="N185" s="21">
        <f t="shared" si="14"/>
        <v>2.7319000000000004</v>
      </c>
    </row>
    <row r="186" spans="1:14" x14ac:dyDescent="0.3">
      <c r="A186" s="72">
        <f t="shared" si="13"/>
        <v>183</v>
      </c>
      <c r="B186" s="64">
        <v>59</v>
      </c>
      <c r="C186" s="73" t="s">
        <v>419</v>
      </c>
      <c r="D186" s="64" t="s">
        <v>394</v>
      </c>
      <c r="E186" s="74">
        <v>1793</v>
      </c>
      <c r="F186" s="64">
        <v>1793</v>
      </c>
      <c r="G186" s="74">
        <v>10</v>
      </c>
      <c r="H186" s="64">
        <v>10</v>
      </c>
      <c r="I186" s="64">
        <v>100</v>
      </c>
      <c r="J186" s="65">
        <v>0.1</v>
      </c>
      <c r="K186" s="21">
        <f t="shared" si="12"/>
        <v>1.7929999999999999</v>
      </c>
      <c r="L186" s="21">
        <f t="shared" si="10"/>
        <v>0.53789999999999993</v>
      </c>
      <c r="M186" s="21">
        <f t="shared" si="11"/>
        <v>1.7930000000000001</v>
      </c>
      <c r="N186" s="21">
        <f t="shared" si="14"/>
        <v>4.1238999999999999</v>
      </c>
    </row>
    <row r="187" spans="1:14" x14ac:dyDescent="0.3">
      <c r="A187" s="72">
        <f t="shared" si="13"/>
        <v>184</v>
      </c>
      <c r="B187" s="64">
        <v>60</v>
      </c>
      <c r="C187" s="73" t="s">
        <v>420</v>
      </c>
      <c r="D187" s="64" t="s">
        <v>256</v>
      </c>
      <c r="E187" s="74">
        <v>1059</v>
      </c>
      <c r="F187" s="64">
        <v>1059</v>
      </c>
      <c r="G187" s="74">
        <v>10</v>
      </c>
      <c r="H187" s="64">
        <v>10</v>
      </c>
      <c r="I187" s="64">
        <v>100</v>
      </c>
      <c r="J187" s="65">
        <v>0.1</v>
      </c>
      <c r="K187" s="21">
        <f t="shared" si="12"/>
        <v>1.0589999999999999</v>
      </c>
      <c r="L187" s="21">
        <f t="shared" si="10"/>
        <v>0.31769999999999998</v>
      </c>
      <c r="M187" s="21">
        <f t="shared" si="11"/>
        <v>1.0590000000000002</v>
      </c>
      <c r="N187" s="21">
        <f t="shared" si="14"/>
        <v>2.4357000000000002</v>
      </c>
    </row>
    <row r="188" spans="1:14" x14ac:dyDescent="0.3">
      <c r="A188" s="72">
        <f t="shared" si="13"/>
        <v>185</v>
      </c>
      <c r="B188" s="64">
        <v>60</v>
      </c>
      <c r="C188" s="73" t="s">
        <v>420</v>
      </c>
      <c r="D188" s="64" t="s">
        <v>397</v>
      </c>
      <c r="E188" s="74">
        <v>1305</v>
      </c>
      <c r="F188" s="64">
        <v>1305</v>
      </c>
      <c r="G188" s="74">
        <v>10</v>
      </c>
      <c r="H188" s="64">
        <v>10</v>
      </c>
      <c r="I188" s="64">
        <v>100</v>
      </c>
      <c r="J188" s="65">
        <v>0.1</v>
      </c>
      <c r="K188" s="21">
        <f t="shared" si="12"/>
        <v>1.3049999999999999</v>
      </c>
      <c r="L188" s="21">
        <f t="shared" si="10"/>
        <v>0.39150000000000001</v>
      </c>
      <c r="M188" s="21">
        <f t="shared" si="11"/>
        <v>1.3049999999999999</v>
      </c>
      <c r="N188" s="21">
        <f t="shared" si="14"/>
        <v>3.0015000000000001</v>
      </c>
    </row>
    <row r="189" spans="1:14" x14ac:dyDescent="0.3">
      <c r="A189" s="72">
        <f t="shared" si="13"/>
        <v>186</v>
      </c>
      <c r="B189" s="64">
        <v>60</v>
      </c>
      <c r="C189" s="73" t="s">
        <v>420</v>
      </c>
      <c r="D189" s="64" t="s">
        <v>261</v>
      </c>
      <c r="E189" s="74">
        <v>1793</v>
      </c>
      <c r="F189" s="64">
        <v>1793</v>
      </c>
      <c r="G189" s="74">
        <v>10</v>
      </c>
      <c r="H189" s="64">
        <v>10</v>
      </c>
      <c r="I189" s="64">
        <v>100</v>
      </c>
      <c r="J189" s="65">
        <v>0.1</v>
      </c>
      <c r="K189" s="21">
        <f t="shared" si="12"/>
        <v>1.7929999999999999</v>
      </c>
      <c r="L189" s="21">
        <f t="shared" si="10"/>
        <v>0.53789999999999993</v>
      </c>
      <c r="M189" s="21">
        <f t="shared" si="11"/>
        <v>1.7930000000000001</v>
      </c>
      <c r="N189" s="21">
        <f t="shared" si="14"/>
        <v>4.1238999999999999</v>
      </c>
    </row>
    <row r="190" spans="1:14" x14ac:dyDescent="0.3">
      <c r="A190" s="72">
        <f t="shared" si="13"/>
        <v>187</v>
      </c>
      <c r="B190" s="64">
        <v>60</v>
      </c>
      <c r="C190" s="73" t="s">
        <v>420</v>
      </c>
      <c r="D190" s="64" t="s">
        <v>359</v>
      </c>
      <c r="E190" s="74">
        <v>2286</v>
      </c>
      <c r="F190" s="64">
        <v>2286</v>
      </c>
      <c r="G190" s="74">
        <v>10</v>
      </c>
      <c r="H190" s="64">
        <v>10</v>
      </c>
      <c r="I190" s="64">
        <v>100</v>
      </c>
      <c r="J190" s="65">
        <v>0.1</v>
      </c>
      <c r="K190" s="21">
        <f t="shared" si="12"/>
        <v>2.286</v>
      </c>
      <c r="L190" s="21">
        <f t="shared" si="10"/>
        <v>0.68579999999999997</v>
      </c>
      <c r="M190" s="21">
        <f t="shared" si="11"/>
        <v>2.286</v>
      </c>
      <c r="N190" s="21">
        <f t="shared" si="14"/>
        <v>5.2577999999999996</v>
      </c>
    </row>
    <row r="191" spans="1:14" x14ac:dyDescent="0.3">
      <c r="A191" s="72">
        <f t="shared" si="13"/>
        <v>188</v>
      </c>
      <c r="B191" s="64">
        <v>61</v>
      </c>
      <c r="C191" s="73" t="s">
        <v>421</v>
      </c>
      <c r="D191" s="64" t="s">
        <v>261</v>
      </c>
      <c r="E191" s="74">
        <v>13405</v>
      </c>
      <c r="F191" s="64">
        <v>13405</v>
      </c>
      <c r="G191" s="74">
        <v>10</v>
      </c>
      <c r="H191" s="64">
        <v>10</v>
      </c>
      <c r="I191" s="64">
        <v>100</v>
      </c>
      <c r="J191" s="65">
        <v>0.03</v>
      </c>
      <c r="K191" s="21">
        <f t="shared" si="12"/>
        <v>13.404999999999999</v>
      </c>
      <c r="L191" s="21">
        <f t="shared" si="10"/>
        <v>4.0215000000000005</v>
      </c>
      <c r="M191" s="21">
        <f t="shared" si="11"/>
        <v>4.0214999999999996</v>
      </c>
      <c r="N191" s="21">
        <f t="shared" si="14"/>
        <v>21.448</v>
      </c>
    </row>
    <row r="192" spans="1:14" x14ac:dyDescent="0.3">
      <c r="A192" s="72">
        <f t="shared" si="13"/>
        <v>189</v>
      </c>
      <c r="B192" s="64">
        <v>61</v>
      </c>
      <c r="C192" s="73" t="s">
        <v>421</v>
      </c>
      <c r="D192" s="64" t="s">
        <v>422</v>
      </c>
      <c r="E192" s="74">
        <v>14547</v>
      </c>
      <c r="F192" s="64">
        <v>14547</v>
      </c>
      <c r="G192" s="74">
        <v>10</v>
      </c>
      <c r="H192" s="64">
        <v>10</v>
      </c>
      <c r="I192" s="64">
        <v>100</v>
      </c>
      <c r="J192" s="65">
        <v>0.03</v>
      </c>
      <c r="K192" s="21">
        <f t="shared" si="12"/>
        <v>14.547000000000001</v>
      </c>
      <c r="L192" s="21">
        <f t="shared" si="10"/>
        <v>4.3640999999999996</v>
      </c>
      <c r="M192" s="21">
        <f t="shared" si="11"/>
        <v>4.3640999999999996</v>
      </c>
      <c r="N192" s="21">
        <f t="shared" si="14"/>
        <v>23.275200000000002</v>
      </c>
    </row>
    <row r="193" spans="1:14" x14ac:dyDescent="0.3">
      <c r="A193" s="72">
        <f t="shared" si="13"/>
        <v>190</v>
      </c>
      <c r="B193" s="64">
        <v>61</v>
      </c>
      <c r="C193" s="73" t="s">
        <v>421</v>
      </c>
      <c r="D193" s="64" t="s">
        <v>359</v>
      </c>
      <c r="E193" s="74">
        <v>15690</v>
      </c>
      <c r="F193" s="64">
        <v>15690</v>
      </c>
      <c r="G193" s="74">
        <v>10</v>
      </c>
      <c r="H193" s="64">
        <v>10</v>
      </c>
      <c r="I193" s="64">
        <v>100</v>
      </c>
      <c r="J193" s="65">
        <v>0.03</v>
      </c>
      <c r="K193" s="21">
        <f t="shared" si="12"/>
        <v>15.69</v>
      </c>
      <c r="L193" s="21">
        <f t="shared" si="10"/>
        <v>4.7069999999999999</v>
      </c>
      <c r="M193" s="21">
        <f t="shared" si="11"/>
        <v>4.7069999999999999</v>
      </c>
      <c r="N193" s="21">
        <f t="shared" si="14"/>
        <v>25.103999999999999</v>
      </c>
    </row>
    <row r="194" spans="1:14" x14ac:dyDescent="0.3">
      <c r="A194" s="72">
        <f t="shared" si="13"/>
        <v>191</v>
      </c>
      <c r="B194" s="64">
        <v>62</v>
      </c>
      <c r="C194" s="73" t="s">
        <v>423</v>
      </c>
      <c r="D194" s="64" t="s">
        <v>424</v>
      </c>
      <c r="E194" s="74">
        <v>1556</v>
      </c>
      <c r="F194" s="64">
        <v>1556</v>
      </c>
      <c r="G194" s="74">
        <v>10</v>
      </c>
      <c r="H194" s="64">
        <v>10</v>
      </c>
      <c r="I194" s="64">
        <v>100</v>
      </c>
      <c r="J194" s="65">
        <v>0.1</v>
      </c>
      <c r="K194" s="21">
        <f t="shared" si="12"/>
        <v>1.556</v>
      </c>
      <c r="L194" s="21">
        <f t="shared" si="10"/>
        <v>0.46679999999999999</v>
      </c>
      <c r="M194" s="21">
        <f t="shared" si="11"/>
        <v>1.5560000000000003</v>
      </c>
      <c r="N194" s="21">
        <f t="shared" si="14"/>
        <v>3.5788000000000002</v>
      </c>
    </row>
    <row r="195" spans="1:14" x14ac:dyDescent="0.3">
      <c r="A195" s="72">
        <f t="shared" si="13"/>
        <v>192</v>
      </c>
      <c r="B195" s="64">
        <v>63</v>
      </c>
      <c r="C195" s="73" t="s">
        <v>425</v>
      </c>
      <c r="D195" s="64" t="s">
        <v>426</v>
      </c>
      <c r="E195" s="74">
        <v>1809</v>
      </c>
      <c r="F195" s="64">
        <v>1809</v>
      </c>
      <c r="G195" s="74">
        <v>10</v>
      </c>
      <c r="H195" s="64">
        <v>10</v>
      </c>
      <c r="I195" s="64">
        <v>100</v>
      </c>
      <c r="J195" s="65">
        <v>0.04</v>
      </c>
      <c r="K195" s="21">
        <f t="shared" si="12"/>
        <v>1.8089999999999999</v>
      </c>
      <c r="L195" s="21">
        <f t="shared" si="10"/>
        <v>0.54269999999999996</v>
      </c>
      <c r="M195" s="21">
        <f t="shared" si="11"/>
        <v>0.72360000000000002</v>
      </c>
      <c r="N195" s="21">
        <f t="shared" si="14"/>
        <v>3.0753000000000004</v>
      </c>
    </row>
    <row r="196" spans="1:14" x14ac:dyDescent="0.3">
      <c r="A196" s="72">
        <f t="shared" si="13"/>
        <v>193</v>
      </c>
      <c r="B196" s="64">
        <v>64</v>
      </c>
      <c r="C196" s="73" t="s">
        <v>427</v>
      </c>
      <c r="D196" s="64" t="s">
        <v>389</v>
      </c>
      <c r="E196" s="74">
        <v>5157</v>
      </c>
      <c r="F196" s="64">
        <v>5157</v>
      </c>
      <c r="G196" s="74">
        <v>10</v>
      </c>
      <c r="H196" s="64">
        <v>10</v>
      </c>
      <c r="I196" s="64">
        <v>100</v>
      </c>
      <c r="J196" s="65">
        <v>0.04</v>
      </c>
      <c r="K196" s="21">
        <f t="shared" si="12"/>
        <v>5.157</v>
      </c>
      <c r="L196" s="21">
        <f t="shared" ref="L196:L235" si="15">+(F196/I196)*($L$1/100)</f>
        <v>1.5470999999999999</v>
      </c>
      <c r="M196" s="21">
        <f t="shared" ref="M196:M235" si="16">+F196*J196/100</f>
        <v>2.0628000000000002</v>
      </c>
      <c r="N196" s="21">
        <f t="shared" si="14"/>
        <v>8.7668999999999997</v>
      </c>
    </row>
    <row r="197" spans="1:14" x14ac:dyDescent="0.3">
      <c r="A197" s="72">
        <f t="shared" si="13"/>
        <v>194</v>
      </c>
      <c r="B197" s="64">
        <v>65</v>
      </c>
      <c r="C197" s="73" t="s">
        <v>428</v>
      </c>
      <c r="D197" s="64" t="s">
        <v>429</v>
      </c>
      <c r="E197" s="74">
        <v>54942</v>
      </c>
      <c r="F197" s="64">
        <v>54942</v>
      </c>
      <c r="G197" s="74">
        <v>10</v>
      </c>
      <c r="H197" s="64">
        <v>10</v>
      </c>
      <c r="I197" s="64">
        <v>100</v>
      </c>
      <c r="J197" s="65">
        <v>0.03</v>
      </c>
      <c r="K197" s="21">
        <f t="shared" ref="K197:K235" si="17">+F197/(H197*I197)</f>
        <v>54.942</v>
      </c>
      <c r="L197" s="21">
        <f t="shared" si="15"/>
        <v>16.482599999999998</v>
      </c>
      <c r="M197" s="21">
        <f t="shared" si="16"/>
        <v>16.482600000000001</v>
      </c>
      <c r="N197" s="21">
        <f t="shared" si="14"/>
        <v>87.907200000000003</v>
      </c>
    </row>
    <row r="198" spans="1:14" x14ac:dyDescent="0.3">
      <c r="A198" s="72">
        <f t="shared" ref="A198:A235" si="18">+A197+1</f>
        <v>195</v>
      </c>
      <c r="B198" s="64">
        <v>66</v>
      </c>
      <c r="C198" s="73" t="s">
        <v>430</v>
      </c>
      <c r="D198" s="64" t="s">
        <v>431</v>
      </c>
      <c r="E198" s="74">
        <v>3105</v>
      </c>
      <c r="F198" s="64">
        <v>3105</v>
      </c>
      <c r="G198" s="74">
        <v>10</v>
      </c>
      <c r="H198" s="64">
        <v>10</v>
      </c>
      <c r="I198" s="64">
        <v>100</v>
      </c>
      <c r="J198" s="65">
        <v>0.08</v>
      </c>
      <c r="K198" s="21">
        <f t="shared" si="17"/>
        <v>3.105</v>
      </c>
      <c r="L198" s="21">
        <f t="shared" si="15"/>
        <v>0.93149999999999999</v>
      </c>
      <c r="M198" s="21">
        <f t="shared" si="16"/>
        <v>2.484</v>
      </c>
      <c r="N198" s="21">
        <f t="shared" ref="N198:N235" si="19">+K198+L198+M198</f>
        <v>6.5205000000000002</v>
      </c>
    </row>
    <row r="199" spans="1:14" x14ac:dyDescent="0.3">
      <c r="A199" s="72">
        <f t="shared" si="18"/>
        <v>196</v>
      </c>
      <c r="B199" s="64">
        <v>67</v>
      </c>
      <c r="C199" s="73" t="s">
        <v>432</v>
      </c>
      <c r="D199" s="64" t="s">
        <v>433</v>
      </c>
      <c r="E199" s="74">
        <v>5114</v>
      </c>
      <c r="F199" s="64">
        <v>5114</v>
      </c>
      <c r="G199" s="74">
        <v>10</v>
      </c>
      <c r="H199" s="64">
        <v>10</v>
      </c>
      <c r="I199" s="64">
        <v>100</v>
      </c>
      <c r="J199" s="65">
        <v>0.08</v>
      </c>
      <c r="K199" s="21">
        <f t="shared" si="17"/>
        <v>5.1139999999999999</v>
      </c>
      <c r="L199" s="21">
        <f t="shared" si="15"/>
        <v>1.5342</v>
      </c>
      <c r="M199" s="21">
        <f t="shared" si="16"/>
        <v>4.0911999999999997</v>
      </c>
      <c r="N199" s="21">
        <f t="shared" si="19"/>
        <v>10.7394</v>
      </c>
    </row>
    <row r="200" spans="1:14" x14ac:dyDescent="0.3">
      <c r="A200" s="72">
        <f t="shared" si="18"/>
        <v>197</v>
      </c>
      <c r="B200" s="64">
        <v>67</v>
      </c>
      <c r="C200" s="73" t="s">
        <v>432</v>
      </c>
      <c r="D200" s="64" t="s">
        <v>434</v>
      </c>
      <c r="E200" s="74">
        <v>5808</v>
      </c>
      <c r="F200" s="64">
        <v>5808</v>
      </c>
      <c r="G200" s="74">
        <v>10</v>
      </c>
      <c r="H200" s="64">
        <v>10</v>
      </c>
      <c r="I200" s="64">
        <v>100</v>
      </c>
      <c r="J200" s="65">
        <v>0.08</v>
      </c>
      <c r="K200" s="21">
        <f t="shared" si="17"/>
        <v>5.8079999999999998</v>
      </c>
      <c r="L200" s="21">
        <f t="shared" si="15"/>
        <v>1.7423999999999999</v>
      </c>
      <c r="M200" s="21">
        <f t="shared" si="16"/>
        <v>4.6463999999999999</v>
      </c>
      <c r="N200" s="21">
        <f t="shared" si="19"/>
        <v>12.1968</v>
      </c>
    </row>
    <row r="201" spans="1:14" x14ac:dyDescent="0.3">
      <c r="A201" s="72">
        <f t="shared" si="18"/>
        <v>198</v>
      </c>
      <c r="B201" s="64">
        <v>67</v>
      </c>
      <c r="C201" s="73" t="s">
        <v>432</v>
      </c>
      <c r="D201" s="64" t="s">
        <v>435</v>
      </c>
      <c r="E201" s="74">
        <v>7197</v>
      </c>
      <c r="F201" s="64">
        <v>7197</v>
      </c>
      <c r="G201" s="74">
        <v>10</v>
      </c>
      <c r="H201" s="64">
        <v>10</v>
      </c>
      <c r="I201" s="64">
        <v>100</v>
      </c>
      <c r="J201" s="65">
        <v>0.08</v>
      </c>
      <c r="K201" s="21">
        <f t="shared" si="17"/>
        <v>7.1970000000000001</v>
      </c>
      <c r="L201" s="21">
        <f t="shared" si="15"/>
        <v>2.1591</v>
      </c>
      <c r="M201" s="21">
        <f t="shared" si="16"/>
        <v>5.7576000000000001</v>
      </c>
      <c r="N201" s="21">
        <f t="shared" si="19"/>
        <v>15.1137</v>
      </c>
    </row>
    <row r="202" spans="1:14" x14ac:dyDescent="0.3">
      <c r="A202" s="72">
        <f t="shared" si="18"/>
        <v>199</v>
      </c>
      <c r="B202" s="64">
        <v>68</v>
      </c>
      <c r="C202" s="73" t="s">
        <v>436</v>
      </c>
      <c r="D202" s="64" t="s">
        <v>437</v>
      </c>
      <c r="E202" s="74">
        <v>5772</v>
      </c>
      <c r="F202" s="64">
        <v>5772</v>
      </c>
      <c r="G202" s="74">
        <v>10</v>
      </c>
      <c r="H202" s="64">
        <v>10</v>
      </c>
      <c r="I202" s="64">
        <v>100</v>
      </c>
      <c r="J202" s="65">
        <v>0.02</v>
      </c>
      <c r="K202" s="21">
        <f t="shared" si="17"/>
        <v>5.7720000000000002</v>
      </c>
      <c r="L202" s="21">
        <f t="shared" si="15"/>
        <v>1.7315999999999998</v>
      </c>
      <c r="M202" s="21">
        <f t="shared" si="16"/>
        <v>1.1543999999999999</v>
      </c>
      <c r="N202" s="21">
        <f t="shared" si="19"/>
        <v>8.6580000000000013</v>
      </c>
    </row>
    <row r="203" spans="1:14" x14ac:dyDescent="0.3">
      <c r="A203" s="72">
        <f t="shared" si="18"/>
        <v>200</v>
      </c>
      <c r="B203" s="64">
        <v>69</v>
      </c>
      <c r="C203" s="73" t="s">
        <v>438</v>
      </c>
      <c r="D203" s="64" t="s">
        <v>437</v>
      </c>
      <c r="E203" s="74">
        <v>9315</v>
      </c>
      <c r="F203" s="64">
        <v>9315</v>
      </c>
      <c r="G203" s="74">
        <v>10</v>
      </c>
      <c r="H203" s="64">
        <v>10</v>
      </c>
      <c r="I203" s="64">
        <v>100</v>
      </c>
      <c r="J203" s="65">
        <v>0.02</v>
      </c>
      <c r="K203" s="21">
        <f t="shared" si="17"/>
        <v>9.3149999999999995</v>
      </c>
      <c r="L203" s="21">
        <f t="shared" si="15"/>
        <v>2.7945000000000002</v>
      </c>
      <c r="M203" s="21">
        <f t="shared" si="16"/>
        <v>1.8630000000000002</v>
      </c>
      <c r="N203" s="21">
        <f t="shared" si="19"/>
        <v>13.9725</v>
      </c>
    </row>
    <row r="204" spans="1:14" x14ac:dyDescent="0.3">
      <c r="A204" s="72">
        <f t="shared" si="18"/>
        <v>201</v>
      </c>
      <c r="B204" s="64">
        <v>70</v>
      </c>
      <c r="C204" s="73" t="s">
        <v>439</v>
      </c>
      <c r="D204" s="64" t="s">
        <v>434</v>
      </c>
      <c r="E204" s="74">
        <v>5443</v>
      </c>
      <c r="F204" s="64">
        <v>5443</v>
      </c>
      <c r="G204" s="74">
        <v>10</v>
      </c>
      <c r="H204" s="64">
        <v>10</v>
      </c>
      <c r="I204" s="64">
        <v>100</v>
      </c>
      <c r="J204" s="65">
        <v>0.03</v>
      </c>
      <c r="K204" s="21">
        <f t="shared" si="17"/>
        <v>5.4429999999999996</v>
      </c>
      <c r="L204" s="21">
        <f t="shared" si="15"/>
        <v>1.6329</v>
      </c>
      <c r="M204" s="21">
        <f t="shared" si="16"/>
        <v>1.6329</v>
      </c>
      <c r="N204" s="21">
        <f t="shared" si="19"/>
        <v>8.7088000000000001</v>
      </c>
    </row>
    <row r="205" spans="1:14" x14ac:dyDescent="0.3">
      <c r="A205" s="72">
        <f t="shared" si="18"/>
        <v>202</v>
      </c>
      <c r="B205" s="64">
        <v>71</v>
      </c>
      <c r="C205" s="73" t="s">
        <v>440</v>
      </c>
      <c r="D205" s="64" t="s">
        <v>441</v>
      </c>
      <c r="E205" s="74">
        <v>112222</v>
      </c>
      <c r="F205" s="64">
        <v>112222</v>
      </c>
      <c r="G205" s="74">
        <v>10</v>
      </c>
      <c r="H205" s="64">
        <v>10</v>
      </c>
      <c r="I205" s="64">
        <v>100</v>
      </c>
      <c r="J205" s="65">
        <v>1.7000000000000001E-2</v>
      </c>
      <c r="K205" s="21">
        <f t="shared" si="17"/>
        <v>112.22199999999999</v>
      </c>
      <c r="L205" s="21">
        <f t="shared" si="15"/>
        <v>33.666600000000003</v>
      </c>
      <c r="M205" s="21">
        <f t="shared" si="16"/>
        <v>19.077740000000002</v>
      </c>
      <c r="N205" s="21">
        <f t="shared" si="19"/>
        <v>164.96634</v>
      </c>
    </row>
    <row r="206" spans="1:14" x14ac:dyDescent="0.3">
      <c r="A206" s="72">
        <f t="shared" si="18"/>
        <v>203</v>
      </c>
      <c r="B206" s="64">
        <v>71</v>
      </c>
      <c r="C206" s="73" t="s">
        <v>440</v>
      </c>
      <c r="D206" s="64" t="s">
        <v>442</v>
      </c>
      <c r="E206" s="74">
        <v>125520</v>
      </c>
      <c r="F206" s="64">
        <v>125520</v>
      </c>
      <c r="G206" s="74">
        <v>10</v>
      </c>
      <c r="H206" s="64">
        <v>10</v>
      </c>
      <c r="I206" s="64">
        <v>100</v>
      </c>
      <c r="J206" s="65">
        <v>1.7000000000000001E-2</v>
      </c>
      <c r="K206" s="21">
        <f t="shared" si="17"/>
        <v>125.52</v>
      </c>
      <c r="L206" s="21">
        <f t="shared" si="15"/>
        <v>37.655999999999999</v>
      </c>
      <c r="M206" s="21">
        <f t="shared" si="16"/>
        <v>21.3384</v>
      </c>
      <c r="N206" s="21">
        <f t="shared" si="19"/>
        <v>184.51439999999999</v>
      </c>
    </row>
    <row r="207" spans="1:14" x14ac:dyDescent="0.3">
      <c r="A207" s="72">
        <f t="shared" si="18"/>
        <v>204</v>
      </c>
      <c r="B207" s="64">
        <v>71</v>
      </c>
      <c r="C207" s="73" t="s">
        <v>440</v>
      </c>
      <c r="D207" s="64" t="s">
        <v>443</v>
      </c>
      <c r="E207" s="74">
        <v>149630</v>
      </c>
      <c r="F207" s="64">
        <v>149630</v>
      </c>
      <c r="G207" s="74">
        <v>10</v>
      </c>
      <c r="H207" s="64">
        <v>10</v>
      </c>
      <c r="I207" s="64">
        <v>100</v>
      </c>
      <c r="J207" s="65">
        <v>1.7000000000000001E-2</v>
      </c>
      <c r="K207" s="21">
        <f t="shared" si="17"/>
        <v>149.63</v>
      </c>
      <c r="L207" s="21">
        <f t="shared" si="15"/>
        <v>44.888999999999996</v>
      </c>
      <c r="M207" s="21">
        <f t="shared" si="16"/>
        <v>25.437100000000001</v>
      </c>
      <c r="N207" s="21">
        <f t="shared" si="19"/>
        <v>219.95609999999999</v>
      </c>
    </row>
    <row r="208" spans="1:14" x14ac:dyDescent="0.3">
      <c r="A208" s="72">
        <f t="shared" si="18"/>
        <v>205</v>
      </c>
      <c r="B208" s="64">
        <v>71</v>
      </c>
      <c r="C208" s="73" t="s">
        <v>440</v>
      </c>
      <c r="D208" s="64" t="s">
        <v>444</v>
      </c>
      <c r="E208" s="74">
        <v>170087</v>
      </c>
      <c r="F208" s="64">
        <v>170087</v>
      </c>
      <c r="G208" s="74">
        <v>10</v>
      </c>
      <c r="H208" s="64">
        <v>10</v>
      </c>
      <c r="I208" s="64">
        <v>100</v>
      </c>
      <c r="J208" s="65">
        <v>1.7000000000000001E-2</v>
      </c>
      <c r="K208" s="21">
        <f t="shared" si="17"/>
        <v>170.08699999999999</v>
      </c>
      <c r="L208" s="21">
        <f t="shared" si="15"/>
        <v>51.026099999999992</v>
      </c>
      <c r="M208" s="21">
        <f t="shared" si="16"/>
        <v>28.914790000000004</v>
      </c>
      <c r="N208" s="21">
        <f t="shared" si="19"/>
        <v>250.02788999999999</v>
      </c>
    </row>
    <row r="209" spans="1:14" x14ac:dyDescent="0.3">
      <c r="A209" s="72">
        <f t="shared" si="18"/>
        <v>206</v>
      </c>
      <c r="B209" s="64">
        <v>72</v>
      </c>
      <c r="C209" s="73" t="s">
        <v>445</v>
      </c>
      <c r="D209" s="64" t="s">
        <v>446</v>
      </c>
      <c r="E209" s="74">
        <v>121200</v>
      </c>
      <c r="F209" s="64">
        <v>121200</v>
      </c>
      <c r="G209" s="74">
        <v>10</v>
      </c>
      <c r="H209" s="64">
        <v>10</v>
      </c>
      <c r="I209" s="64">
        <v>100</v>
      </c>
      <c r="J209" s="65">
        <v>1.7000000000000001E-2</v>
      </c>
      <c r="K209" s="21">
        <f t="shared" si="17"/>
        <v>121.2</v>
      </c>
      <c r="L209" s="21">
        <f t="shared" si="15"/>
        <v>36.36</v>
      </c>
      <c r="M209" s="21">
        <f t="shared" si="16"/>
        <v>20.603999999999999</v>
      </c>
      <c r="N209" s="21">
        <f t="shared" si="19"/>
        <v>178.16399999999999</v>
      </c>
    </row>
    <row r="210" spans="1:14" x14ac:dyDescent="0.3">
      <c r="A210" s="72">
        <f t="shared" si="18"/>
        <v>207</v>
      </c>
      <c r="B210" s="64">
        <v>72</v>
      </c>
      <c r="C210" s="73" t="s">
        <v>445</v>
      </c>
      <c r="D210" s="64" t="s">
        <v>447</v>
      </c>
      <c r="E210" s="74">
        <v>135561</v>
      </c>
      <c r="F210" s="64">
        <v>135561</v>
      </c>
      <c r="G210" s="74">
        <v>10</v>
      </c>
      <c r="H210" s="64">
        <v>10</v>
      </c>
      <c r="I210" s="64">
        <v>100</v>
      </c>
      <c r="J210" s="65">
        <v>1.7000000000000001E-2</v>
      </c>
      <c r="K210" s="21">
        <f t="shared" si="17"/>
        <v>135.56100000000001</v>
      </c>
      <c r="L210" s="21">
        <f t="shared" si="15"/>
        <v>40.668299999999995</v>
      </c>
      <c r="M210" s="21">
        <f t="shared" si="16"/>
        <v>23.045370000000002</v>
      </c>
      <c r="N210" s="21">
        <f t="shared" si="19"/>
        <v>199.27466999999999</v>
      </c>
    </row>
    <row r="211" spans="1:14" x14ac:dyDescent="0.3">
      <c r="A211" s="72">
        <f t="shared" si="18"/>
        <v>208</v>
      </c>
      <c r="B211" s="64">
        <v>72</v>
      </c>
      <c r="C211" s="73" t="s">
        <v>445</v>
      </c>
      <c r="D211" s="64" t="s">
        <v>448</v>
      </c>
      <c r="E211" s="74">
        <v>161600</v>
      </c>
      <c r="F211" s="64">
        <v>161600</v>
      </c>
      <c r="G211" s="74">
        <v>10</v>
      </c>
      <c r="H211" s="64">
        <v>10</v>
      </c>
      <c r="I211" s="64">
        <v>100</v>
      </c>
      <c r="J211" s="65">
        <v>1.7000000000000001E-2</v>
      </c>
      <c r="K211" s="21">
        <f t="shared" si="17"/>
        <v>161.6</v>
      </c>
      <c r="L211" s="21">
        <f t="shared" si="15"/>
        <v>48.48</v>
      </c>
      <c r="M211" s="21">
        <f t="shared" si="16"/>
        <v>27.472000000000001</v>
      </c>
      <c r="N211" s="21">
        <f t="shared" si="19"/>
        <v>237.55199999999999</v>
      </c>
    </row>
    <row r="212" spans="1:14" x14ac:dyDescent="0.3">
      <c r="A212" s="72">
        <f t="shared" si="18"/>
        <v>209</v>
      </c>
      <c r="B212" s="64">
        <v>72</v>
      </c>
      <c r="C212" s="73" t="s">
        <v>445</v>
      </c>
      <c r="D212" s="64" t="s">
        <v>449</v>
      </c>
      <c r="E212" s="74">
        <v>183694</v>
      </c>
      <c r="F212" s="64">
        <v>183694</v>
      </c>
      <c r="G212" s="74">
        <v>10</v>
      </c>
      <c r="H212" s="64">
        <v>10</v>
      </c>
      <c r="I212" s="64">
        <v>100</v>
      </c>
      <c r="J212" s="65">
        <v>1.7000000000000001E-2</v>
      </c>
      <c r="K212" s="21">
        <f t="shared" si="17"/>
        <v>183.69399999999999</v>
      </c>
      <c r="L212" s="21">
        <f t="shared" si="15"/>
        <v>55.108199999999997</v>
      </c>
      <c r="M212" s="21">
        <f t="shared" si="16"/>
        <v>31.227980000000002</v>
      </c>
      <c r="N212" s="21">
        <f t="shared" si="19"/>
        <v>270.03017999999997</v>
      </c>
    </row>
    <row r="213" spans="1:14" x14ac:dyDescent="0.3">
      <c r="A213" s="72">
        <f t="shared" si="18"/>
        <v>210</v>
      </c>
      <c r="B213" s="64">
        <v>73</v>
      </c>
      <c r="C213" s="73" t="s">
        <v>450</v>
      </c>
      <c r="D213" s="64" t="s">
        <v>451</v>
      </c>
      <c r="E213" s="74">
        <v>39609</v>
      </c>
      <c r="F213" s="64">
        <v>39609</v>
      </c>
      <c r="G213" s="74">
        <v>10</v>
      </c>
      <c r="H213" s="64">
        <v>10</v>
      </c>
      <c r="I213" s="64">
        <v>100</v>
      </c>
      <c r="J213" s="65">
        <v>1.7000000000000001E-2</v>
      </c>
      <c r="K213" s="21">
        <f t="shared" si="17"/>
        <v>39.609000000000002</v>
      </c>
      <c r="L213" s="21">
        <f t="shared" si="15"/>
        <v>11.882699999999998</v>
      </c>
      <c r="M213" s="21">
        <f t="shared" si="16"/>
        <v>6.7335300000000009</v>
      </c>
      <c r="N213" s="21">
        <f t="shared" si="19"/>
        <v>58.225230000000003</v>
      </c>
    </row>
    <row r="214" spans="1:14" x14ac:dyDescent="0.3">
      <c r="A214" s="72">
        <f t="shared" si="18"/>
        <v>211</v>
      </c>
      <c r="B214" s="64">
        <v>73</v>
      </c>
      <c r="C214" s="73" t="s">
        <v>450</v>
      </c>
      <c r="D214" s="64" t="s">
        <v>452</v>
      </c>
      <c r="E214" s="74">
        <v>57494</v>
      </c>
      <c r="F214" s="64">
        <v>57494</v>
      </c>
      <c r="G214" s="74">
        <v>10</v>
      </c>
      <c r="H214" s="64">
        <v>10</v>
      </c>
      <c r="I214" s="64">
        <v>100</v>
      </c>
      <c r="J214" s="65">
        <v>1.7000000000000001E-2</v>
      </c>
      <c r="K214" s="21">
        <f t="shared" si="17"/>
        <v>57.494</v>
      </c>
      <c r="L214" s="21">
        <f t="shared" si="15"/>
        <v>17.248200000000001</v>
      </c>
      <c r="M214" s="21">
        <f t="shared" si="16"/>
        <v>9.7739799999999999</v>
      </c>
      <c r="N214" s="21">
        <f t="shared" si="19"/>
        <v>84.516179999999991</v>
      </c>
    </row>
    <row r="215" spans="1:14" x14ac:dyDescent="0.3">
      <c r="A215" s="72">
        <f t="shared" si="18"/>
        <v>212</v>
      </c>
      <c r="B215" s="64">
        <v>74</v>
      </c>
      <c r="C215" s="73" t="s">
        <v>453</v>
      </c>
      <c r="D215" s="64" t="s">
        <v>454</v>
      </c>
      <c r="E215" s="74">
        <v>99583</v>
      </c>
      <c r="F215" s="64">
        <v>99583</v>
      </c>
      <c r="G215" s="74">
        <v>10</v>
      </c>
      <c r="H215" s="64">
        <v>10</v>
      </c>
      <c r="I215" s="64">
        <v>100</v>
      </c>
      <c r="J215" s="65">
        <v>0.02</v>
      </c>
      <c r="K215" s="21">
        <f t="shared" si="17"/>
        <v>99.582999999999998</v>
      </c>
      <c r="L215" s="21">
        <f t="shared" si="15"/>
        <v>29.8749</v>
      </c>
      <c r="M215" s="21">
        <f t="shared" si="16"/>
        <v>19.916600000000003</v>
      </c>
      <c r="N215" s="21">
        <f t="shared" si="19"/>
        <v>149.37450000000001</v>
      </c>
    </row>
    <row r="216" spans="1:14" x14ac:dyDescent="0.3">
      <c r="A216" s="72">
        <f t="shared" si="18"/>
        <v>213</v>
      </c>
      <c r="B216" s="64">
        <v>74</v>
      </c>
      <c r="C216" s="73" t="s">
        <v>453</v>
      </c>
      <c r="D216" s="64" t="s">
        <v>455</v>
      </c>
      <c r="E216" s="74">
        <v>108606</v>
      </c>
      <c r="F216" s="64">
        <v>108606</v>
      </c>
      <c r="G216" s="74">
        <v>10</v>
      </c>
      <c r="H216" s="64">
        <v>10</v>
      </c>
      <c r="I216" s="64">
        <v>100</v>
      </c>
      <c r="J216" s="65">
        <v>0.02</v>
      </c>
      <c r="K216" s="21">
        <f t="shared" si="17"/>
        <v>108.60599999999999</v>
      </c>
      <c r="L216" s="21">
        <f t="shared" si="15"/>
        <v>32.581799999999994</v>
      </c>
      <c r="M216" s="21">
        <f t="shared" si="16"/>
        <v>21.7212</v>
      </c>
      <c r="N216" s="21">
        <f t="shared" si="19"/>
        <v>162.90899999999999</v>
      </c>
    </row>
    <row r="217" spans="1:14" x14ac:dyDescent="0.3">
      <c r="A217" s="72">
        <f t="shared" si="18"/>
        <v>214</v>
      </c>
      <c r="B217" s="64">
        <v>74</v>
      </c>
      <c r="C217" s="73" t="s">
        <v>453</v>
      </c>
      <c r="D217" s="64" t="s">
        <v>456</v>
      </c>
      <c r="E217" s="74">
        <v>122159</v>
      </c>
      <c r="F217" s="64">
        <v>122159</v>
      </c>
      <c r="G217" s="74">
        <v>10</v>
      </c>
      <c r="H217" s="64">
        <v>10</v>
      </c>
      <c r="I217" s="64">
        <v>100</v>
      </c>
      <c r="J217" s="65">
        <v>0.02</v>
      </c>
      <c r="K217" s="21">
        <f t="shared" si="17"/>
        <v>122.15900000000001</v>
      </c>
      <c r="L217" s="21">
        <f t="shared" si="15"/>
        <v>36.647699999999993</v>
      </c>
      <c r="M217" s="21">
        <f t="shared" si="16"/>
        <v>24.431799999999999</v>
      </c>
      <c r="N217" s="21">
        <f t="shared" si="19"/>
        <v>183.23850000000002</v>
      </c>
    </row>
    <row r="218" spans="1:14" x14ac:dyDescent="0.3">
      <c r="A218" s="72">
        <f t="shared" si="18"/>
        <v>215</v>
      </c>
      <c r="B218" s="64">
        <v>74</v>
      </c>
      <c r="C218" s="73" t="s">
        <v>453</v>
      </c>
      <c r="D218" s="64" t="s">
        <v>457</v>
      </c>
      <c r="E218" s="74">
        <v>135748</v>
      </c>
      <c r="F218" s="64">
        <v>135748</v>
      </c>
      <c r="G218" s="74">
        <v>10</v>
      </c>
      <c r="H218" s="64">
        <v>10</v>
      </c>
      <c r="I218" s="64">
        <v>100</v>
      </c>
      <c r="J218" s="65">
        <v>0.02</v>
      </c>
      <c r="K218" s="21">
        <f t="shared" si="17"/>
        <v>135.74799999999999</v>
      </c>
      <c r="L218" s="21">
        <f t="shared" si="15"/>
        <v>40.724399999999996</v>
      </c>
      <c r="M218" s="21">
        <f t="shared" si="16"/>
        <v>27.1496</v>
      </c>
      <c r="N218" s="21">
        <f t="shared" si="19"/>
        <v>203.62199999999999</v>
      </c>
    </row>
    <row r="219" spans="1:14" x14ac:dyDescent="0.3">
      <c r="A219" s="72">
        <f t="shared" si="18"/>
        <v>216</v>
      </c>
      <c r="B219" s="64">
        <v>74</v>
      </c>
      <c r="C219" s="73" t="s">
        <v>453</v>
      </c>
      <c r="D219" s="64" t="s">
        <v>458</v>
      </c>
      <c r="E219" s="74">
        <v>149301</v>
      </c>
      <c r="F219" s="64">
        <v>149301</v>
      </c>
      <c r="G219" s="74">
        <v>10</v>
      </c>
      <c r="H219" s="64">
        <v>10</v>
      </c>
      <c r="I219" s="64">
        <v>100</v>
      </c>
      <c r="J219" s="65">
        <v>0.02</v>
      </c>
      <c r="K219" s="21">
        <f t="shared" si="17"/>
        <v>149.30099999999999</v>
      </c>
      <c r="L219" s="21">
        <f t="shared" si="15"/>
        <v>44.790299999999995</v>
      </c>
      <c r="M219" s="21">
        <f t="shared" si="16"/>
        <v>29.860199999999999</v>
      </c>
      <c r="N219" s="21">
        <f t="shared" si="19"/>
        <v>223.95149999999998</v>
      </c>
    </row>
    <row r="220" spans="1:14" x14ac:dyDescent="0.3">
      <c r="A220" s="72">
        <f t="shared" si="18"/>
        <v>217</v>
      </c>
      <c r="B220" s="64">
        <v>74</v>
      </c>
      <c r="C220" s="73" t="s">
        <v>453</v>
      </c>
      <c r="D220" s="64" t="s">
        <v>459</v>
      </c>
      <c r="E220" s="74">
        <v>162854</v>
      </c>
      <c r="F220" s="64">
        <v>162854</v>
      </c>
      <c r="G220" s="74">
        <v>10</v>
      </c>
      <c r="H220" s="64">
        <v>10</v>
      </c>
      <c r="I220" s="64">
        <v>100</v>
      </c>
      <c r="J220" s="65">
        <v>0.02</v>
      </c>
      <c r="K220" s="21">
        <f t="shared" si="17"/>
        <v>162.85400000000001</v>
      </c>
      <c r="L220" s="21">
        <f t="shared" si="15"/>
        <v>48.856199999999994</v>
      </c>
      <c r="M220" s="21">
        <f t="shared" si="16"/>
        <v>32.570799999999998</v>
      </c>
      <c r="N220" s="21">
        <f t="shared" si="19"/>
        <v>244.28100000000001</v>
      </c>
    </row>
    <row r="221" spans="1:14" x14ac:dyDescent="0.3">
      <c r="A221" s="72">
        <f t="shared" si="18"/>
        <v>218</v>
      </c>
      <c r="B221" s="64">
        <v>75</v>
      </c>
      <c r="C221" s="73" t="s">
        <v>460</v>
      </c>
      <c r="D221" s="64" t="s">
        <v>461</v>
      </c>
      <c r="E221" s="74">
        <v>119499</v>
      </c>
      <c r="F221" s="64">
        <v>119499</v>
      </c>
      <c r="G221" s="74">
        <v>10</v>
      </c>
      <c r="H221" s="64">
        <v>10</v>
      </c>
      <c r="I221" s="64">
        <v>100</v>
      </c>
      <c r="J221" s="65">
        <v>0.02</v>
      </c>
      <c r="K221" s="21">
        <f t="shared" si="17"/>
        <v>119.499</v>
      </c>
      <c r="L221" s="21">
        <f t="shared" si="15"/>
        <v>35.849699999999999</v>
      </c>
      <c r="M221" s="21">
        <f t="shared" si="16"/>
        <v>23.899799999999999</v>
      </c>
      <c r="N221" s="21">
        <f t="shared" si="19"/>
        <v>179.24850000000001</v>
      </c>
    </row>
    <row r="222" spans="1:14" x14ac:dyDescent="0.3">
      <c r="A222" s="72">
        <f t="shared" si="18"/>
        <v>219</v>
      </c>
      <c r="B222" s="64">
        <v>75</v>
      </c>
      <c r="C222" s="73" t="s">
        <v>460</v>
      </c>
      <c r="D222" s="64" t="s">
        <v>462</v>
      </c>
      <c r="E222" s="74">
        <v>130327</v>
      </c>
      <c r="F222" s="64">
        <v>130327</v>
      </c>
      <c r="G222" s="74">
        <v>10</v>
      </c>
      <c r="H222" s="64">
        <v>10</v>
      </c>
      <c r="I222" s="64">
        <v>100</v>
      </c>
      <c r="J222" s="65">
        <v>0.02</v>
      </c>
      <c r="K222" s="21">
        <f t="shared" si="17"/>
        <v>130.327</v>
      </c>
      <c r="L222" s="21">
        <f t="shared" si="15"/>
        <v>39.098099999999995</v>
      </c>
      <c r="M222" s="21">
        <f t="shared" si="16"/>
        <v>26.0654</v>
      </c>
      <c r="N222" s="21">
        <f t="shared" si="19"/>
        <v>195.4905</v>
      </c>
    </row>
    <row r="223" spans="1:14" x14ac:dyDescent="0.3">
      <c r="A223" s="72">
        <f t="shared" si="18"/>
        <v>220</v>
      </c>
      <c r="B223" s="64">
        <v>75</v>
      </c>
      <c r="C223" s="73" t="s">
        <v>460</v>
      </c>
      <c r="D223" s="64" t="s">
        <v>463</v>
      </c>
      <c r="E223" s="74">
        <v>146590</v>
      </c>
      <c r="F223" s="64">
        <v>146590</v>
      </c>
      <c r="G223" s="74">
        <v>10</v>
      </c>
      <c r="H223" s="64">
        <v>10</v>
      </c>
      <c r="I223" s="64">
        <v>100</v>
      </c>
      <c r="J223" s="65">
        <v>0.02</v>
      </c>
      <c r="K223" s="21">
        <f t="shared" si="17"/>
        <v>146.59</v>
      </c>
      <c r="L223" s="21">
        <f t="shared" si="15"/>
        <v>43.977000000000004</v>
      </c>
      <c r="M223" s="21">
        <f t="shared" si="16"/>
        <v>29.318000000000001</v>
      </c>
      <c r="N223" s="21">
        <f t="shared" si="19"/>
        <v>219.88500000000002</v>
      </c>
    </row>
    <row r="224" spans="1:14" x14ac:dyDescent="0.3">
      <c r="A224" s="72">
        <f t="shared" si="18"/>
        <v>221</v>
      </c>
      <c r="B224" s="64">
        <v>75</v>
      </c>
      <c r="C224" s="73" t="s">
        <v>460</v>
      </c>
      <c r="D224" s="64" t="s">
        <v>464</v>
      </c>
      <c r="E224" s="74">
        <v>162898</v>
      </c>
      <c r="F224" s="64">
        <v>162898</v>
      </c>
      <c r="G224" s="74">
        <v>10</v>
      </c>
      <c r="H224" s="64">
        <v>10</v>
      </c>
      <c r="I224" s="64">
        <v>100</v>
      </c>
      <c r="J224" s="65">
        <v>0.02</v>
      </c>
      <c r="K224" s="21">
        <f t="shared" si="17"/>
        <v>162.898</v>
      </c>
      <c r="L224" s="21">
        <f t="shared" si="15"/>
        <v>48.869399999999999</v>
      </c>
      <c r="M224" s="21">
        <f t="shared" si="16"/>
        <v>32.579599999999999</v>
      </c>
      <c r="N224" s="21">
        <f t="shared" si="19"/>
        <v>244.34700000000001</v>
      </c>
    </row>
    <row r="225" spans="1:14" x14ac:dyDescent="0.3">
      <c r="A225" s="72">
        <f t="shared" si="18"/>
        <v>222</v>
      </c>
      <c r="B225" s="64">
        <v>75</v>
      </c>
      <c r="C225" s="73" t="s">
        <v>460</v>
      </c>
      <c r="D225" s="64" t="s">
        <v>465</v>
      </c>
      <c r="E225" s="74">
        <v>179161</v>
      </c>
      <c r="F225" s="64">
        <v>179161</v>
      </c>
      <c r="G225" s="74">
        <v>10</v>
      </c>
      <c r="H225" s="64">
        <v>10</v>
      </c>
      <c r="I225" s="64">
        <v>100</v>
      </c>
      <c r="J225" s="65">
        <v>0.02</v>
      </c>
      <c r="K225" s="21">
        <f t="shared" si="17"/>
        <v>179.161</v>
      </c>
      <c r="L225" s="21">
        <f t="shared" si="15"/>
        <v>53.748299999999993</v>
      </c>
      <c r="M225" s="21">
        <f t="shared" si="16"/>
        <v>35.8322</v>
      </c>
      <c r="N225" s="21">
        <f t="shared" si="19"/>
        <v>268.74149999999997</v>
      </c>
    </row>
    <row r="226" spans="1:14" x14ac:dyDescent="0.3">
      <c r="A226" s="72">
        <f t="shared" si="18"/>
        <v>223</v>
      </c>
      <c r="B226" s="64">
        <v>75</v>
      </c>
      <c r="C226" s="73" t="s">
        <v>460</v>
      </c>
      <c r="D226" s="64" t="s">
        <v>466</v>
      </c>
      <c r="E226" s="74">
        <v>195425</v>
      </c>
      <c r="F226" s="64">
        <v>195425</v>
      </c>
      <c r="G226" s="74">
        <v>10</v>
      </c>
      <c r="H226" s="64">
        <v>10</v>
      </c>
      <c r="I226" s="64">
        <v>100</v>
      </c>
      <c r="J226" s="65">
        <v>0.02</v>
      </c>
      <c r="K226" s="21">
        <f t="shared" si="17"/>
        <v>195.42500000000001</v>
      </c>
      <c r="L226" s="21">
        <f t="shared" si="15"/>
        <v>58.627499999999998</v>
      </c>
      <c r="M226" s="21">
        <f t="shared" si="16"/>
        <v>39.085000000000001</v>
      </c>
      <c r="N226" s="21">
        <f t="shared" si="19"/>
        <v>293.13749999999999</v>
      </c>
    </row>
    <row r="227" spans="1:14" x14ac:dyDescent="0.3">
      <c r="A227" s="72">
        <f t="shared" si="18"/>
        <v>224</v>
      </c>
      <c r="B227" s="64">
        <v>76</v>
      </c>
      <c r="C227" s="73" t="s">
        <v>467</v>
      </c>
      <c r="D227" s="64" t="s">
        <v>468</v>
      </c>
      <c r="E227" s="74">
        <v>114520</v>
      </c>
      <c r="F227" s="64">
        <v>114520</v>
      </c>
      <c r="G227" s="74">
        <v>10</v>
      </c>
      <c r="H227" s="64">
        <v>10</v>
      </c>
      <c r="I227" s="64">
        <v>100</v>
      </c>
      <c r="J227" s="65">
        <v>0.02</v>
      </c>
      <c r="K227" s="21">
        <f t="shared" si="17"/>
        <v>114.52</v>
      </c>
      <c r="L227" s="21">
        <f t="shared" si="15"/>
        <v>34.356000000000002</v>
      </c>
      <c r="M227" s="21">
        <f t="shared" si="16"/>
        <v>22.904</v>
      </c>
      <c r="N227" s="21">
        <f t="shared" si="19"/>
        <v>171.78</v>
      </c>
    </row>
    <row r="228" spans="1:14" x14ac:dyDescent="0.3">
      <c r="A228" s="72">
        <f t="shared" si="18"/>
        <v>225</v>
      </c>
      <c r="B228" s="64">
        <v>76</v>
      </c>
      <c r="C228" s="73" t="s">
        <v>467</v>
      </c>
      <c r="D228" s="64" t="s">
        <v>469</v>
      </c>
      <c r="E228" s="74">
        <v>124897</v>
      </c>
      <c r="F228" s="64">
        <v>124897</v>
      </c>
      <c r="G228" s="74">
        <v>10</v>
      </c>
      <c r="H228" s="64">
        <v>10</v>
      </c>
      <c r="I228" s="64">
        <v>100</v>
      </c>
      <c r="J228" s="65">
        <v>0.02</v>
      </c>
      <c r="K228" s="21">
        <f t="shared" si="17"/>
        <v>124.89700000000001</v>
      </c>
      <c r="L228" s="21">
        <f t="shared" si="15"/>
        <v>37.469099999999997</v>
      </c>
      <c r="M228" s="21">
        <f t="shared" si="16"/>
        <v>24.979400000000002</v>
      </c>
      <c r="N228" s="21">
        <f t="shared" si="19"/>
        <v>187.34550000000002</v>
      </c>
    </row>
    <row r="229" spans="1:14" x14ac:dyDescent="0.3">
      <c r="A229" s="72">
        <f t="shared" si="18"/>
        <v>226</v>
      </c>
      <c r="B229" s="64">
        <v>76</v>
      </c>
      <c r="C229" s="73" t="s">
        <v>467</v>
      </c>
      <c r="D229" s="64" t="s">
        <v>470</v>
      </c>
      <c r="E229" s="74">
        <v>140482</v>
      </c>
      <c r="F229" s="64">
        <v>140482</v>
      </c>
      <c r="G229" s="74">
        <v>10</v>
      </c>
      <c r="H229" s="64">
        <v>10</v>
      </c>
      <c r="I229" s="64">
        <v>100</v>
      </c>
      <c r="J229" s="65">
        <v>0.02</v>
      </c>
      <c r="K229" s="21">
        <f t="shared" si="17"/>
        <v>140.482</v>
      </c>
      <c r="L229" s="21">
        <f t="shared" si="15"/>
        <v>42.144599999999997</v>
      </c>
      <c r="M229" s="21">
        <f t="shared" si="16"/>
        <v>28.096399999999999</v>
      </c>
      <c r="N229" s="21">
        <f t="shared" si="19"/>
        <v>210.72299999999998</v>
      </c>
    </row>
    <row r="230" spans="1:14" x14ac:dyDescent="0.3">
      <c r="A230" s="72">
        <f t="shared" si="18"/>
        <v>227</v>
      </c>
      <c r="B230" s="64">
        <v>76</v>
      </c>
      <c r="C230" s="73" t="s">
        <v>467</v>
      </c>
      <c r="D230" s="64" t="s">
        <v>471</v>
      </c>
      <c r="E230" s="74">
        <v>156110</v>
      </c>
      <c r="F230" s="64">
        <v>156110</v>
      </c>
      <c r="G230" s="74">
        <v>10</v>
      </c>
      <c r="H230" s="64">
        <v>10</v>
      </c>
      <c r="I230" s="64">
        <v>100</v>
      </c>
      <c r="J230" s="65">
        <v>0.02</v>
      </c>
      <c r="K230" s="21">
        <f t="shared" si="17"/>
        <v>156.11000000000001</v>
      </c>
      <c r="L230" s="21">
        <f t="shared" si="15"/>
        <v>46.832999999999998</v>
      </c>
      <c r="M230" s="21">
        <f t="shared" si="16"/>
        <v>31.222000000000001</v>
      </c>
      <c r="N230" s="21">
        <f t="shared" si="19"/>
        <v>234.16500000000002</v>
      </c>
    </row>
    <row r="231" spans="1:14" x14ac:dyDescent="0.3">
      <c r="A231" s="72">
        <f t="shared" si="18"/>
        <v>228</v>
      </c>
      <c r="B231" s="64">
        <v>76</v>
      </c>
      <c r="C231" s="73" t="s">
        <v>467</v>
      </c>
      <c r="D231" s="64" t="s">
        <v>472</v>
      </c>
      <c r="E231" s="74">
        <v>171696</v>
      </c>
      <c r="F231" s="64">
        <v>171696</v>
      </c>
      <c r="G231" s="74">
        <v>10</v>
      </c>
      <c r="H231" s="64">
        <v>10</v>
      </c>
      <c r="I231" s="64">
        <v>100</v>
      </c>
      <c r="J231" s="65">
        <v>0.02</v>
      </c>
      <c r="K231" s="21">
        <f t="shared" si="17"/>
        <v>171.696</v>
      </c>
      <c r="L231" s="21">
        <f t="shared" si="15"/>
        <v>51.508800000000001</v>
      </c>
      <c r="M231" s="21">
        <f t="shared" si="16"/>
        <v>34.339199999999998</v>
      </c>
      <c r="N231" s="21">
        <f t="shared" si="19"/>
        <v>257.54399999999998</v>
      </c>
    </row>
    <row r="232" spans="1:14" x14ac:dyDescent="0.3">
      <c r="A232" s="72">
        <f t="shared" si="18"/>
        <v>229</v>
      </c>
      <c r="B232" s="64">
        <v>76</v>
      </c>
      <c r="C232" s="73" t="s">
        <v>467</v>
      </c>
      <c r="D232" s="64" t="s">
        <v>473</v>
      </c>
      <c r="E232" s="74">
        <v>187282</v>
      </c>
      <c r="F232" s="64">
        <v>187282</v>
      </c>
      <c r="G232" s="74">
        <v>10</v>
      </c>
      <c r="H232" s="64">
        <v>10</v>
      </c>
      <c r="I232" s="64">
        <v>100</v>
      </c>
      <c r="J232" s="65">
        <v>0.02</v>
      </c>
      <c r="K232" s="21">
        <f t="shared" si="17"/>
        <v>187.28200000000001</v>
      </c>
      <c r="L232" s="21">
        <f t="shared" si="15"/>
        <v>56.184599999999996</v>
      </c>
      <c r="M232" s="21">
        <f t="shared" si="16"/>
        <v>37.456400000000002</v>
      </c>
      <c r="N232" s="21">
        <f t="shared" si="19"/>
        <v>280.923</v>
      </c>
    </row>
    <row r="233" spans="1:14" x14ac:dyDescent="0.3">
      <c r="A233" s="72">
        <f t="shared" si="18"/>
        <v>230</v>
      </c>
      <c r="B233" s="64">
        <v>77</v>
      </c>
      <c r="C233" s="73" t="s">
        <v>474</v>
      </c>
      <c r="D233" s="64" t="s">
        <v>475</v>
      </c>
      <c r="E233" s="74">
        <v>111952</v>
      </c>
      <c r="F233" s="64">
        <v>111952</v>
      </c>
      <c r="G233" s="74">
        <v>10</v>
      </c>
      <c r="H233" s="64">
        <v>10</v>
      </c>
      <c r="I233" s="64">
        <v>100</v>
      </c>
      <c r="J233" s="65">
        <v>0.02</v>
      </c>
      <c r="K233" s="21">
        <f t="shared" si="17"/>
        <v>111.952</v>
      </c>
      <c r="L233" s="21">
        <f t="shared" si="15"/>
        <v>33.585599999999999</v>
      </c>
      <c r="M233" s="21">
        <f t="shared" si="16"/>
        <v>22.3904</v>
      </c>
      <c r="N233" s="21">
        <f t="shared" si="19"/>
        <v>167.928</v>
      </c>
    </row>
    <row r="234" spans="1:14" x14ac:dyDescent="0.3">
      <c r="A234" s="72">
        <f t="shared" si="18"/>
        <v>231</v>
      </c>
      <c r="B234" s="64">
        <v>77</v>
      </c>
      <c r="C234" s="73" t="s">
        <v>474</v>
      </c>
      <c r="D234" s="64" t="s">
        <v>476</v>
      </c>
      <c r="E234" s="74">
        <v>137396</v>
      </c>
      <c r="F234" s="64">
        <v>137396</v>
      </c>
      <c r="G234" s="74">
        <v>10</v>
      </c>
      <c r="H234" s="64">
        <v>10</v>
      </c>
      <c r="I234" s="64">
        <v>100</v>
      </c>
      <c r="J234" s="65">
        <v>0.02</v>
      </c>
      <c r="K234" s="21">
        <f t="shared" si="17"/>
        <v>137.39599999999999</v>
      </c>
      <c r="L234" s="21">
        <f t="shared" si="15"/>
        <v>41.218800000000002</v>
      </c>
      <c r="M234" s="21">
        <f t="shared" si="16"/>
        <v>27.479200000000002</v>
      </c>
      <c r="N234" s="21">
        <f t="shared" si="19"/>
        <v>206.09399999999999</v>
      </c>
    </row>
    <row r="235" spans="1:14" x14ac:dyDescent="0.3">
      <c r="A235" s="72">
        <f t="shared" si="18"/>
        <v>232</v>
      </c>
      <c r="B235" s="64">
        <v>78</v>
      </c>
      <c r="C235" s="73" t="s">
        <v>477</v>
      </c>
      <c r="D235" s="64" t="s">
        <v>478</v>
      </c>
      <c r="E235" s="74">
        <v>93519</v>
      </c>
      <c r="F235" s="64">
        <v>93519</v>
      </c>
      <c r="G235" s="74">
        <v>10</v>
      </c>
      <c r="H235" s="64">
        <v>10</v>
      </c>
      <c r="I235" s="64">
        <v>100</v>
      </c>
      <c r="J235" s="65">
        <v>0.02</v>
      </c>
      <c r="K235" s="21">
        <f t="shared" si="17"/>
        <v>93.519000000000005</v>
      </c>
      <c r="L235" s="21">
        <f t="shared" si="15"/>
        <v>28.055700000000002</v>
      </c>
      <c r="M235" s="21">
        <f t="shared" si="16"/>
        <v>18.703800000000001</v>
      </c>
      <c r="N235" s="21">
        <f t="shared" si="19"/>
        <v>140.27850000000001</v>
      </c>
    </row>
    <row r="236" spans="1:14" x14ac:dyDescent="0.3">
      <c r="B236" s="64"/>
      <c r="C236" s="73"/>
      <c r="D236" s="64"/>
      <c r="E236" s="74"/>
      <c r="F236" s="64"/>
      <c r="G236" s="74"/>
      <c r="H236" s="64"/>
      <c r="I236" s="64"/>
      <c r="J236" s="65"/>
      <c r="K236" s="21"/>
      <c r="L236" s="21"/>
      <c r="M236" s="21"/>
      <c r="N236" s="21"/>
    </row>
    <row r="237" spans="1:14" x14ac:dyDescent="0.3">
      <c r="B237" s="64"/>
      <c r="C237" s="73"/>
      <c r="D237" s="64"/>
      <c r="E237" s="64"/>
      <c r="F237" s="64"/>
      <c r="G237" s="74"/>
      <c r="H237" s="64"/>
      <c r="I237" s="64"/>
      <c r="J237" s="65"/>
      <c r="K237" s="21"/>
      <c r="L237" s="21"/>
      <c r="M237" s="21"/>
      <c r="N237" s="21"/>
    </row>
    <row r="238" spans="1:14" x14ac:dyDescent="0.3">
      <c r="B238" s="64"/>
      <c r="C238" s="112" t="s">
        <v>479</v>
      </c>
      <c r="D238" s="64"/>
      <c r="G238" s="74"/>
      <c r="H238" s="64"/>
      <c r="I238" s="64"/>
      <c r="J238" s="65"/>
      <c r="K238" s="21"/>
      <c r="L238" s="21"/>
      <c r="M238" s="21"/>
      <c r="N238" s="21"/>
    </row>
    <row r="239" spans="1:14" x14ac:dyDescent="0.3">
      <c r="G239" s="210"/>
    </row>
    <row r="240" spans="1:14" x14ac:dyDescent="0.3">
      <c r="A240" s="72">
        <v>232</v>
      </c>
      <c r="B240" s="64">
        <v>100</v>
      </c>
      <c r="C240" s="73" t="s">
        <v>550</v>
      </c>
      <c r="D240" s="64"/>
      <c r="E240" s="74">
        <v>5000</v>
      </c>
      <c r="F240" s="64">
        <v>5000</v>
      </c>
      <c r="G240" s="74">
        <v>10</v>
      </c>
      <c r="H240" s="64">
        <v>10</v>
      </c>
      <c r="I240" s="64">
        <v>100</v>
      </c>
      <c r="J240" s="65">
        <v>0.04</v>
      </c>
      <c r="K240" s="21">
        <f>+F240/(H240*I240)</f>
        <v>5</v>
      </c>
      <c r="L240" s="21">
        <f>+(F240/I240)*($L$1/100)</f>
        <v>1.5</v>
      </c>
      <c r="M240" s="21">
        <f>+F240*J240/100</f>
        <v>2</v>
      </c>
      <c r="N240" s="21">
        <f>+K240+L240+M240</f>
        <v>8.5</v>
      </c>
    </row>
    <row r="241" spans="1:14" x14ac:dyDescent="0.3">
      <c r="A241" s="72">
        <v>233</v>
      </c>
      <c r="B241" s="64">
        <v>100</v>
      </c>
      <c r="C241" s="79" t="s">
        <v>35</v>
      </c>
      <c r="E241" s="74">
        <v>3000</v>
      </c>
      <c r="F241" s="64">
        <v>3000</v>
      </c>
      <c r="G241" s="74">
        <v>10</v>
      </c>
      <c r="H241" s="64">
        <v>10</v>
      </c>
      <c r="I241" s="64">
        <v>100</v>
      </c>
      <c r="J241" s="65">
        <v>0.04</v>
      </c>
      <c r="K241" s="21">
        <f>+F241/(H241*I241)</f>
        <v>3</v>
      </c>
      <c r="L241" s="21">
        <f>+(F241/I241)*($L$1/100)</f>
        <v>0.89999999999999991</v>
      </c>
      <c r="M241" s="21">
        <f>+F241*J241/100</f>
        <v>1.2</v>
      </c>
      <c r="N241" s="21">
        <f>+K241+L241+M241</f>
        <v>5.0999999999999996</v>
      </c>
    </row>
    <row r="242" spans="1:14" x14ac:dyDescent="0.3">
      <c r="A242" s="72">
        <v>234</v>
      </c>
      <c r="B242" s="64">
        <v>100</v>
      </c>
      <c r="C242" s="79" t="s">
        <v>566</v>
      </c>
      <c r="E242" s="74">
        <v>2500</v>
      </c>
      <c r="F242" s="64">
        <v>2500</v>
      </c>
      <c r="G242" s="74">
        <v>10</v>
      </c>
      <c r="H242" s="64">
        <v>10</v>
      </c>
      <c r="I242" s="64">
        <v>100</v>
      </c>
      <c r="J242" s="65">
        <v>0.04</v>
      </c>
      <c r="K242" s="21">
        <f>+F242/(H242*I242)</f>
        <v>2.5</v>
      </c>
      <c r="L242" s="21">
        <f>+(F242/I242)*($L$1/100)</f>
        <v>0.75</v>
      </c>
      <c r="M242" s="21">
        <f>+F242*J242/100</f>
        <v>1</v>
      </c>
      <c r="N242" s="21">
        <f>+K242+L242+M242</f>
        <v>4.25</v>
      </c>
    </row>
    <row r="243" spans="1:14" x14ac:dyDescent="0.3">
      <c r="A243" s="72">
        <v>235</v>
      </c>
      <c r="B243" s="64">
        <v>100</v>
      </c>
      <c r="C243" s="79" t="s">
        <v>573</v>
      </c>
      <c r="E243" s="74">
        <v>2500</v>
      </c>
      <c r="F243" s="64">
        <v>2500</v>
      </c>
      <c r="G243" s="74">
        <v>10</v>
      </c>
      <c r="H243" s="64">
        <v>10</v>
      </c>
      <c r="I243" s="64">
        <v>100</v>
      </c>
      <c r="J243" s="65">
        <v>0.04</v>
      </c>
      <c r="K243" s="21">
        <f>+F243/(H243*I243)</f>
        <v>2.5</v>
      </c>
      <c r="L243" s="21">
        <f>+(F243/I243)*($L$1/100)</f>
        <v>0.75</v>
      </c>
      <c r="M243" s="21">
        <f>+F243*J243/100</f>
        <v>1</v>
      </c>
      <c r="N243" s="21">
        <f>+K243+L243+M243</f>
        <v>4.25</v>
      </c>
    </row>
    <row r="244" spans="1:14" x14ac:dyDescent="0.3">
      <c r="A244" s="72"/>
    </row>
    <row r="245" spans="1:14" x14ac:dyDescent="0.3">
      <c r="A245" s="72"/>
    </row>
    <row r="246" spans="1:14" x14ac:dyDescent="0.3">
      <c r="A246" s="72"/>
    </row>
  </sheetData>
  <mergeCells count="3">
    <mergeCell ref="A1:A3"/>
    <mergeCell ref="B1:B3"/>
    <mergeCell ref="C1:C3"/>
  </mergeCells>
  <hyperlinks>
    <hyperlink ref="D1" location="Indice!A1" display="Índice"/>
  </hyperlinks>
  <printOptions horizontalCentered="1" gridLines="1"/>
  <pageMargins left="7.874015748031496E-2" right="7.874015748031496E-2" top="7.874015748031496E-2" bottom="7.874015748031496E-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pane ySplit="2" topLeftCell="A36" activePane="bottomLeft" state="frozen"/>
      <selection pane="bottomLeft" activeCell="A2" sqref="A2"/>
    </sheetView>
  </sheetViews>
  <sheetFormatPr defaultRowHeight="13.8" x14ac:dyDescent="0.3"/>
  <cols>
    <col min="1" max="1" width="45.109375" customWidth="1"/>
    <col min="2" max="2" width="16.6640625" customWidth="1"/>
    <col min="3" max="3" width="17.6640625" customWidth="1"/>
    <col min="4" max="4" width="12.33203125" customWidth="1"/>
    <col min="5" max="5" width="15.6640625" customWidth="1"/>
  </cols>
  <sheetData>
    <row r="1" spans="1:5" s="81" customFormat="1" ht="19.95" customHeight="1" x14ac:dyDescent="0.3">
      <c r="A1" s="486" t="s">
        <v>134</v>
      </c>
      <c r="B1" s="486"/>
      <c r="C1" s="486"/>
      <c r="D1" s="486"/>
      <c r="E1" s="486"/>
    </row>
    <row r="2" spans="1:5" s="81" customFormat="1" ht="19.95" customHeight="1" x14ac:dyDescent="0.3">
      <c r="A2" s="399" t="s">
        <v>917</v>
      </c>
      <c r="B2" s="54" t="s">
        <v>135</v>
      </c>
      <c r="C2" s="82" t="s">
        <v>136</v>
      </c>
      <c r="D2" s="54" t="s">
        <v>137</v>
      </c>
      <c r="E2" s="54" t="s">
        <v>138</v>
      </c>
    </row>
    <row r="3" spans="1:5" x14ac:dyDescent="0.3">
      <c r="A3" s="483" t="s">
        <v>139</v>
      </c>
      <c r="B3" s="483"/>
      <c r="C3" s="483"/>
      <c r="D3" s="483"/>
      <c r="E3" s="483"/>
    </row>
    <row r="4" spans="1:5" x14ac:dyDescent="0.3">
      <c r="A4" s="55" t="s">
        <v>140</v>
      </c>
      <c r="B4" s="56" t="s">
        <v>141</v>
      </c>
      <c r="C4" s="57">
        <v>5</v>
      </c>
      <c r="D4" s="58" t="s">
        <v>142</v>
      </c>
      <c r="E4" s="58">
        <v>70</v>
      </c>
    </row>
    <row r="5" spans="1:5" x14ac:dyDescent="0.3">
      <c r="A5" s="55" t="s">
        <v>143</v>
      </c>
      <c r="B5" s="59" t="s">
        <v>144</v>
      </c>
      <c r="C5" s="57">
        <v>5</v>
      </c>
      <c r="D5" s="58" t="s">
        <v>145</v>
      </c>
      <c r="E5" s="58">
        <v>75</v>
      </c>
    </row>
    <row r="6" spans="1:5" x14ac:dyDescent="0.3">
      <c r="A6" s="60" t="s">
        <v>146</v>
      </c>
      <c r="B6" s="59" t="s">
        <v>147</v>
      </c>
      <c r="C6" s="57">
        <v>4</v>
      </c>
      <c r="D6" s="58" t="s">
        <v>148</v>
      </c>
      <c r="E6" s="58">
        <v>75</v>
      </c>
    </row>
    <row r="7" spans="1:5" x14ac:dyDescent="0.3">
      <c r="A7" s="60" t="s">
        <v>149</v>
      </c>
      <c r="B7" s="58" t="s">
        <v>150</v>
      </c>
      <c r="C7" s="57">
        <v>2.5</v>
      </c>
      <c r="D7" s="58" t="s">
        <v>151</v>
      </c>
      <c r="E7" s="58">
        <v>75</v>
      </c>
    </row>
    <row r="8" spans="1:5" x14ac:dyDescent="0.3">
      <c r="A8" s="60" t="s">
        <v>152</v>
      </c>
      <c r="B8" s="58" t="s">
        <v>153</v>
      </c>
      <c r="C8" s="57">
        <v>1.5</v>
      </c>
      <c r="D8" s="58" t="s">
        <v>154</v>
      </c>
      <c r="E8" s="58">
        <v>75</v>
      </c>
    </row>
    <row r="9" spans="1:5" x14ac:dyDescent="0.3">
      <c r="A9" s="60" t="s">
        <v>155</v>
      </c>
      <c r="B9" s="59" t="s">
        <v>144</v>
      </c>
      <c r="C9" s="57">
        <v>8</v>
      </c>
      <c r="D9" s="58" t="s">
        <v>156</v>
      </c>
      <c r="E9" s="58">
        <v>75</v>
      </c>
    </row>
    <row r="10" spans="1:5" x14ac:dyDescent="0.3">
      <c r="A10" s="113" t="s">
        <v>555</v>
      </c>
      <c r="B10" s="114" t="s">
        <v>556</v>
      </c>
      <c r="C10" s="115">
        <v>2.5</v>
      </c>
      <c r="D10" s="116" t="s">
        <v>156</v>
      </c>
      <c r="E10" s="116">
        <v>75</v>
      </c>
    </row>
    <row r="11" spans="1:5" x14ac:dyDescent="0.3">
      <c r="A11" s="60" t="s">
        <v>157</v>
      </c>
      <c r="B11" s="59" t="s">
        <v>158</v>
      </c>
      <c r="C11" s="57">
        <v>8</v>
      </c>
      <c r="D11" s="58" t="s">
        <v>156</v>
      </c>
      <c r="E11" s="58">
        <v>85</v>
      </c>
    </row>
    <row r="12" spans="1:5" x14ac:dyDescent="0.3">
      <c r="A12" s="60" t="s">
        <v>159</v>
      </c>
      <c r="B12" s="59" t="s">
        <v>160</v>
      </c>
      <c r="C12" s="57">
        <v>3</v>
      </c>
      <c r="D12" s="58" t="s">
        <v>161</v>
      </c>
      <c r="E12" s="58">
        <v>80</v>
      </c>
    </row>
    <row r="13" spans="1:5" x14ac:dyDescent="0.3">
      <c r="A13" s="60" t="s">
        <v>162</v>
      </c>
      <c r="B13" s="56" t="s">
        <v>163</v>
      </c>
      <c r="C13" s="57">
        <v>6</v>
      </c>
      <c r="D13" s="58" t="s">
        <v>164</v>
      </c>
      <c r="E13" s="58">
        <v>65</v>
      </c>
    </row>
    <row r="14" spans="1:5" x14ac:dyDescent="0.3">
      <c r="A14" s="60" t="s">
        <v>165</v>
      </c>
      <c r="B14" s="59" t="s">
        <v>144</v>
      </c>
      <c r="C14" s="57">
        <v>6</v>
      </c>
      <c r="D14" s="58" t="s">
        <v>156</v>
      </c>
      <c r="E14" s="58">
        <v>75</v>
      </c>
    </row>
    <row r="15" spans="1:5" x14ac:dyDescent="0.3">
      <c r="A15" s="60" t="s">
        <v>166</v>
      </c>
      <c r="B15" s="59" t="s">
        <v>167</v>
      </c>
      <c r="C15" s="57">
        <v>6</v>
      </c>
      <c r="D15" s="58" t="s">
        <v>161</v>
      </c>
      <c r="E15" s="58">
        <v>80</v>
      </c>
    </row>
    <row r="16" spans="1:5" x14ac:dyDescent="0.3">
      <c r="A16" s="60" t="s">
        <v>168</v>
      </c>
      <c r="B16" s="59" t="s">
        <v>158</v>
      </c>
      <c r="C16" s="57">
        <v>4</v>
      </c>
      <c r="D16" s="58" t="s">
        <v>169</v>
      </c>
      <c r="E16" s="58">
        <v>70</v>
      </c>
    </row>
    <row r="17" spans="1:5" x14ac:dyDescent="0.3">
      <c r="A17" s="60" t="s">
        <v>170</v>
      </c>
      <c r="B17" s="59" t="s">
        <v>171</v>
      </c>
      <c r="C17" s="57">
        <v>7</v>
      </c>
      <c r="D17" s="58" t="s">
        <v>161</v>
      </c>
      <c r="E17" s="58">
        <v>80</v>
      </c>
    </row>
    <row r="18" spans="1:5" x14ac:dyDescent="0.3">
      <c r="A18" s="60" t="s">
        <v>172</v>
      </c>
      <c r="B18" s="59" t="s">
        <v>173</v>
      </c>
      <c r="C18" s="57">
        <v>2</v>
      </c>
      <c r="D18" s="58"/>
      <c r="E18" s="58"/>
    </row>
    <row r="19" spans="1:5" ht="4.95" customHeight="1" x14ac:dyDescent="0.3">
      <c r="A19" s="61"/>
      <c r="B19" s="61"/>
      <c r="C19" s="61"/>
      <c r="D19" s="61"/>
      <c r="E19" s="61"/>
    </row>
    <row r="20" spans="1:5" x14ac:dyDescent="0.3">
      <c r="A20" s="487" t="s">
        <v>174</v>
      </c>
      <c r="B20" s="487"/>
      <c r="C20" s="487"/>
      <c r="D20" s="487"/>
      <c r="E20" s="487"/>
    </row>
    <row r="21" spans="1:5" x14ac:dyDescent="0.3">
      <c r="A21" s="55" t="s">
        <v>175</v>
      </c>
      <c r="B21" s="59" t="s">
        <v>176</v>
      </c>
      <c r="C21" s="57">
        <v>6</v>
      </c>
      <c r="D21" s="58" t="s">
        <v>177</v>
      </c>
      <c r="E21" s="58">
        <v>40</v>
      </c>
    </row>
    <row r="22" spans="1:5" x14ac:dyDescent="0.3">
      <c r="A22" s="55" t="s">
        <v>178</v>
      </c>
      <c r="B22" s="59" t="s">
        <v>176</v>
      </c>
      <c r="C22" s="57">
        <v>6</v>
      </c>
      <c r="D22" s="58" t="s">
        <v>179</v>
      </c>
      <c r="E22" s="58">
        <v>50</v>
      </c>
    </row>
    <row r="23" spans="1:5" x14ac:dyDescent="0.3">
      <c r="A23" s="55" t="s">
        <v>180</v>
      </c>
      <c r="B23" s="59" t="s">
        <v>181</v>
      </c>
      <c r="C23" s="57">
        <v>7</v>
      </c>
      <c r="D23" s="58" t="s">
        <v>182</v>
      </c>
      <c r="E23" s="58">
        <v>45</v>
      </c>
    </row>
    <row r="24" spans="1:5" x14ac:dyDescent="0.3">
      <c r="A24" s="60" t="s">
        <v>183</v>
      </c>
      <c r="B24" s="59" t="s">
        <v>184</v>
      </c>
      <c r="C24" s="57">
        <v>3</v>
      </c>
      <c r="D24" s="58" t="s">
        <v>182</v>
      </c>
      <c r="E24" s="58">
        <v>45</v>
      </c>
    </row>
    <row r="25" spans="1:5" x14ac:dyDescent="0.3">
      <c r="A25" s="60" t="s">
        <v>185</v>
      </c>
      <c r="B25" s="59" t="s">
        <v>186</v>
      </c>
      <c r="C25" s="57">
        <v>4</v>
      </c>
      <c r="D25" s="58" t="s">
        <v>182</v>
      </c>
      <c r="E25" s="58">
        <v>45</v>
      </c>
    </row>
    <row r="26" spans="1:5" x14ac:dyDescent="0.3">
      <c r="A26" s="55" t="s">
        <v>187</v>
      </c>
      <c r="B26" s="58" t="s">
        <v>188</v>
      </c>
      <c r="C26" s="57">
        <v>1.5</v>
      </c>
      <c r="D26" s="58" t="s">
        <v>189</v>
      </c>
      <c r="E26" s="58">
        <v>55</v>
      </c>
    </row>
    <row r="27" spans="1:5" x14ac:dyDescent="0.3">
      <c r="A27" s="55" t="s">
        <v>190</v>
      </c>
      <c r="B27" s="59" t="s">
        <v>147</v>
      </c>
      <c r="C27" s="57">
        <v>4</v>
      </c>
      <c r="D27" s="58" t="s">
        <v>189</v>
      </c>
      <c r="E27" s="58">
        <v>55</v>
      </c>
    </row>
    <row r="28" spans="1:5" x14ac:dyDescent="0.3">
      <c r="A28" s="60" t="s">
        <v>191</v>
      </c>
      <c r="B28" s="59" t="s">
        <v>144</v>
      </c>
      <c r="C28" s="57">
        <v>5</v>
      </c>
      <c r="D28" s="58" t="s">
        <v>192</v>
      </c>
      <c r="E28" s="58">
        <v>40</v>
      </c>
    </row>
    <row r="29" spans="1:5" x14ac:dyDescent="0.3">
      <c r="A29" s="60" t="s">
        <v>193</v>
      </c>
      <c r="B29" s="59" t="s">
        <v>144</v>
      </c>
      <c r="C29" s="57">
        <v>5</v>
      </c>
      <c r="D29" s="58" t="s">
        <v>192</v>
      </c>
      <c r="E29" s="58">
        <v>40</v>
      </c>
    </row>
    <row r="30" spans="1:5" x14ac:dyDescent="0.3">
      <c r="A30" s="55" t="s">
        <v>194</v>
      </c>
      <c r="B30" s="59" t="s">
        <v>195</v>
      </c>
      <c r="C30" s="57">
        <v>5</v>
      </c>
      <c r="D30" s="58" t="s">
        <v>196</v>
      </c>
      <c r="E30" s="58">
        <v>65</v>
      </c>
    </row>
    <row r="31" spans="1:5" x14ac:dyDescent="0.3">
      <c r="A31" s="55" t="s">
        <v>197</v>
      </c>
      <c r="B31" s="59" t="s">
        <v>198</v>
      </c>
      <c r="C31" s="57">
        <v>8</v>
      </c>
      <c r="D31" s="58" t="s">
        <v>199</v>
      </c>
      <c r="E31" s="58">
        <v>60</v>
      </c>
    </row>
    <row r="32" spans="1:5" x14ac:dyDescent="0.3">
      <c r="A32" s="60" t="s">
        <v>200</v>
      </c>
      <c r="B32" s="59" t="s">
        <v>198</v>
      </c>
      <c r="C32" s="57">
        <v>3</v>
      </c>
      <c r="D32" s="58" t="s">
        <v>199</v>
      </c>
      <c r="E32" s="58">
        <v>60</v>
      </c>
    </row>
    <row r="33" spans="1:5" ht="4.95" customHeight="1" x14ac:dyDescent="0.3">
      <c r="A33" s="61"/>
      <c r="B33" s="61"/>
      <c r="C33" s="61"/>
      <c r="D33" s="61"/>
      <c r="E33" s="61"/>
    </row>
    <row r="34" spans="1:5" x14ac:dyDescent="0.3">
      <c r="A34" s="483" t="s">
        <v>201</v>
      </c>
      <c r="B34" s="483"/>
      <c r="C34" s="483"/>
      <c r="D34" s="484"/>
      <c r="E34" s="484"/>
    </row>
    <row r="35" spans="1:5" x14ac:dyDescent="0.3">
      <c r="A35" s="60" t="s">
        <v>202</v>
      </c>
      <c r="B35" s="58" t="s">
        <v>150</v>
      </c>
      <c r="C35" s="57">
        <v>3</v>
      </c>
      <c r="D35" s="58" t="s">
        <v>164</v>
      </c>
      <c r="E35" s="58">
        <v>65</v>
      </c>
    </row>
    <row r="36" spans="1:5" x14ac:dyDescent="0.3">
      <c r="A36" s="60" t="s">
        <v>203</v>
      </c>
      <c r="B36" s="58" t="s">
        <v>204</v>
      </c>
      <c r="C36" s="57">
        <v>2</v>
      </c>
      <c r="D36" s="58" t="s">
        <v>205</v>
      </c>
      <c r="E36" s="58">
        <v>65</v>
      </c>
    </row>
    <row r="37" spans="1:5" x14ac:dyDescent="0.3">
      <c r="A37" s="60" t="s">
        <v>206</v>
      </c>
      <c r="B37" s="58" t="s">
        <v>207</v>
      </c>
      <c r="C37" s="57">
        <v>4</v>
      </c>
      <c r="D37" s="58" t="s">
        <v>208</v>
      </c>
      <c r="E37" s="58">
        <v>45</v>
      </c>
    </row>
    <row r="38" spans="1:5" x14ac:dyDescent="0.3">
      <c r="A38" s="60" t="s">
        <v>209</v>
      </c>
      <c r="B38" s="62" t="s">
        <v>147</v>
      </c>
      <c r="C38" s="57">
        <v>4</v>
      </c>
      <c r="D38" s="58" t="s">
        <v>210</v>
      </c>
      <c r="E38" s="58">
        <v>45</v>
      </c>
    </row>
    <row r="39" spans="1:5" x14ac:dyDescent="0.3">
      <c r="A39" s="60" t="s">
        <v>211</v>
      </c>
      <c r="B39" s="62" t="s">
        <v>212</v>
      </c>
      <c r="C39" s="57">
        <v>5</v>
      </c>
      <c r="D39" s="58" t="s">
        <v>199</v>
      </c>
      <c r="E39" s="58">
        <v>60</v>
      </c>
    </row>
    <row r="40" spans="1:5" x14ac:dyDescent="0.3">
      <c r="A40" s="60" t="s">
        <v>213</v>
      </c>
      <c r="B40" s="62" t="s">
        <v>214</v>
      </c>
      <c r="C40" s="57">
        <v>3</v>
      </c>
      <c r="D40" s="58" t="s">
        <v>199</v>
      </c>
      <c r="E40" s="58">
        <v>60</v>
      </c>
    </row>
    <row r="41" spans="1:5" x14ac:dyDescent="0.3">
      <c r="A41" s="60" t="s">
        <v>215</v>
      </c>
      <c r="B41" s="62" t="s">
        <v>184</v>
      </c>
      <c r="C41" s="57">
        <v>3</v>
      </c>
      <c r="D41" s="58" t="s">
        <v>216</v>
      </c>
      <c r="E41" s="58">
        <v>55</v>
      </c>
    </row>
    <row r="42" spans="1:5" x14ac:dyDescent="0.3">
      <c r="A42" s="60" t="s">
        <v>217</v>
      </c>
      <c r="B42" s="62" t="s">
        <v>218</v>
      </c>
      <c r="C42" s="57">
        <v>2</v>
      </c>
      <c r="D42" s="58" t="s">
        <v>179</v>
      </c>
      <c r="E42" s="58">
        <v>50</v>
      </c>
    </row>
    <row r="43" spans="1:5" x14ac:dyDescent="0.3">
      <c r="A43" s="60" t="s">
        <v>219</v>
      </c>
      <c r="B43" s="62" t="s">
        <v>220</v>
      </c>
      <c r="C43" s="57">
        <v>4</v>
      </c>
      <c r="D43" s="58" t="s">
        <v>179</v>
      </c>
      <c r="E43" s="58">
        <v>50</v>
      </c>
    </row>
    <row r="44" spans="1:5" x14ac:dyDescent="0.3">
      <c r="A44" s="55" t="s">
        <v>221</v>
      </c>
      <c r="B44" s="62" t="s">
        <v>222</v>
      </c>
      <c r="C44" s="57">
        <v>3</v>
      </c>
      <c r="D44" s="58" t="s">
        <v>208</v>
      </c>
      <c r="E44" s="58">
        <v>45</v>
      </c>
    </row>
    <row r="45" spans="1:5" x14ac:dyDescent="0.3">
      <c r="A45" s="55" t="s">
        <v>223</v>
      </c>
      <c r="B45" s="62" t="s">
        <v>222</v>
      </c>
      <c r="C45" s="57">
        <v>3</v>
      </c>
      <c r="D45" s="58" t="s">
        <v>224</v>
      </c>
      <c r="E45" s="58">
        <v>55</v>
      </c>
    </row>
    <row r="46" spans="1:5" x14ac:dyDescent="0.3">
      <c r="A46" s="60" t="s">
        <v>225</v>
      </c>
      <c r="B46" s="62" t="s">
        <v>226</v>
      </c>
      <c r="C46" s="57">
        <v>6</v>
      </c>
      <c r="D46" s="58" t="s">
        <v>161</v>
      </c>
      <c r="E46" s="58">
        <v>80</v>
      </c>
    </row>
    <row r="47" spans="1:5" x14ac:dyDescent="0.3">
      <c r="A47" s="60" t="s">
        <v>227</v>
      </c>
      <c r="B47" s="62" t="s">
        <v>226</v>
      </c>
      <c r="C47" s="57">
        <v>6</v>
      </c>
      <c r="D47" s="58" t="s">
        <v>228</v>
      </c>
      <c r="E47" s="58">
        <v>65</v>
      </c>
    </row>
    <row r="48" spans="1:5" ht="4.95" customHeight="1" x14ac:dyDescent="0.3">
      <c r="A48" s="61"/>
      <c r="B48" s="61"/>
      <c r="C48" s="61"/>
      <c r="D48" s="61"/>
      <c r="E48" s="61"/>
    </row>
    <row r="49" spans="1:5" x14ac:dyDescent="0.3">
      <c r="A49" s="483" t="s">
        <v>229</v>
      </c>
      <c r="B49" s="483"/>
      <c r="C49" s="483"/>
      <c r="D49" s="484"/>
      <c r="E49" s="484"/>
    </row>
    <row r="50" spans="1:5" x14ac:dyDescent="0.3">
      <c r="A50" s="60" t="s">
        <v>230</v>
      </c>
      <c r="B50" s="62" t="s">
        <v>231</v>
      </c>
      <c r="C50" s="57">
        <v>10</v>
      </c>
      <c r="D50" s="58"/>
      <c r="E50" s="58"/>
    </row>
    <row r="51" spans="1:5" x14ac:dyDescent="0.3">
      <c r="A51" s="60" t="s">
        <v>232</v>
      </c>
      <c r="B51" s="63" t="s">
        <v>233</v>
      </c>
      <c r="C51" s="57">
        <v>15</v>
      </c>
      <c r="D51" s="58"/>
      <c r="E51" s="58"/>
    </row>
    <row r="52" spans="1:5" ht="4.95" customHeight="1" x14ac:dyDescent="0.3">
      <c r="A52" s="61"/>
      <c r="B52" s="61"/>
      <c r="C52" s="61"/>
      <c r="D52" s="61"/>
      <c r="E52" s="61"/>
    </row>
    <row r="53" spans="1:5" ht="39" customHeight="1" x14ac:dyDescent="0.3">
      <c r="A53" s="485" t="s">
        <v>234</v>
      </c>
      <c r="B53" s="485"/>
      <c r="C53" s="485"/>
      <c r="D53" s="485"/>
      <c r="E53" s="485"/>
    </row>
    <row r="54" spans="1:5" ht="4.95" customHeight="1" x14ac:dyDescent="0.3">
      <c r="A54" s="61"/>
      <c r="B54" s="61"/>
      <c r="C54" s="61"/>
      <c r="D54" s="61"/>
      <c r="E54" s="61"/>
    </row>
    <row r="55" spans="1:5" x14ac:dyDescent="0.3">
      <c r="A55" s="483" t="s">
        <v>593</v>
      </c>
      <c r="B55" s="483"/>
      <c r="C55" s="483"/>
      <c r="D55" s="484"/>
      <c r="E55" s="484"/>
    </row>
    <row r="56" spans="1:5" x14ac:dyDescent="0.3">
      <c r="A56" s="60" t="s">
        <v>551</v>
      </c>
      <c r="B56" s="62" t="s">
        <v>160</v>
      </c>
      <c r="C56" s="57">
        <v>3</v>
      </c>
      <c r="D56" s="62" t="s">
        <v>169</v>
      </c>
      <c r="E56" s="58">
        <v>80</v>
      </c>
    </row>
    <row r="57" spans="1:5" x14ac:dyDescent="0.3">
      <c r="A57" s="60" t="s">
        <v>561</v>
      </c>
      <c r="B57" s="62" t="s">
        <v>160</v>
      </c>
      <c r="C57" s="57">
        <v>3</v>
      </c>
      <c r="D57" s="62" t="s">
        <v>169</v>
      </c>
      <c r="E57" s="58">
        <v>80</v>
      </c>
    </row>
    <row r="58" spans="1:5" x14ac:dyDescent="0.3">
      <c r="A58" s="60" t="s">
        <v>569</v>
      </c>
      <c r="B58" s="62" t="s">
        <v>160</v>
      </c>
      <c r="C58" s="57">
        <v>3</v>
      </c>
      <c r="D58" s="62" t="s">
        <v>169</v>
      </c>
      <c r="E58" s="58">
        <v>80</v>
      </c>
    </row>
    <row r="59" spans="1:5" x14ac:dyDescent="0.3">
      <c r="A59" s="60" t="s">
        <v>570</v>
      </c>
      <c r="B59" s="62" t="s">
        <v>160</v>
      </c>
      <c r="C59" s="57">
        <v>3</v>
      </c>
      <c r="D59" s="62" t="s">
        <v>169</v>
      </c>
      <c r="E59" s="58">
        <v>80</v>
      </c>
    </row>
    <row r="60" spans="1:5" x14ac:dyDescent="0.3">
      <c r="A60" s="60" t="s">
        <v>565</v>
      </c>
      <c r="B60" s="62" t="s">
        <v>564</v>
      </c>
      <c r="C60" s="57">
        <v>5</v>
      </c>
      <c r="D60" s="62" t="s">
        <v>169</v>
      </c>
      <c r="E60" s="58">
        <v>80</v>
      </c>
    </row>
    <row r="61" spans="1:5" x14ac:dyDescent="0.3">
      <c r="A61" s="60"/>
    </row>
    <row r="62" spans="1:5" x14ac:dyDescent="0.3">
      <c r="A62" s="60"/>
    </row>
    <row r="63" spans="1:5" x14ac:dyDescent="0.3">
      <c r="A63" s="60"/>
    </row>
    <row r="64" spans="1:5" x14ac:dyDescent="0.3">
      <c r="A64" s="60"/>
    </row>
    <row r="65" spans="1:1" x14ac:dyDescent="0.3">
      <c r="A65" s="60"/>
    </row>
  </sheetData>
  <mergeCells count="7">
    <mergeCell ref="A55:E55"/>
    <mergeCell ref="A53:E53"/>
    <mergeCell ref="A1:E1"/>
    <mergeCell ref="A3:E3"/>
    <mergeCell ref="A20:E20"/>
    <mergeCell ref="A34:E34"/>
    <mergeCell ref="A49:E49"/>
  </mergeCells>
  <hyperlinks>
    <hyperlink ref="A2" location="Indice!A1" display="Índice"/>
  </hyperlinks>
  <printOptions horizontalCentered="1" gridLines="1"/>
  <pageMargins left="7.874015748031496E-2" right="7.874015748031496E-2" top="7.874015748031496E-2" bottom="7.874015748031496E-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workbookViewId="0">
      <pane ySplit="3" topLeftCell="A163" activePane="bottomLeft" state="frozen"/>
      <selection pane="bottomLeft" sqref="A1:K191"/>
    </sheetView>
  </sheetViews>
  <sheetFormatPr defaultRowHeight="13.8" x14ac:dyDescent="0.3"/>
  <cols>
    <col min="1" max="1" width="26.44140625" customWidth="1"/>
    <col min="2" max="2" width="9" bestFit="1" customWidth="1"/>
    <col min="3" max="3" width="10" customWidth="1"/>
    <col min="4" max="4" width="9.88671875" customWidth="1"/>
    <col min="5" max="5" width="10.33203125" customWidth="1"/>
    <col min="6" max="6" width="13.109375" customWidth="1"/>
    <col min="7" max="8" width="8.44140625" customWidth="1"/>
    <col min="9" max="9" width="9.6640625" customWidth="1"/>
    <col min="10" max="10" width="5.109375" customWidth="1"/>
    <col min="11" max="11" width="5.5546875" customWidth="1"/>
  </cols>
  <sheetData>
    <row r="1" spans="1:11" x14ac:dyDescent="0.3">
      <c r="A1" s="399" t="s">
        <v>917</v>
      </c>
      <c r="B1" s="338"/>
      <c r="C1" s="338"/>
      <c r="D1" s="338"/>
      <c r="E1" s="338"/>
      <c r="F1" s="400"/>
      <c r="G1" s="338"/>
      <c r="H1" s="338"/>
      <c r="I1" s="338"/>
      <c r="J1" s="339"/>
      <c r="K1" s="339"/>
    </row>
    <row r="2" spans="1:11" x14ac:dyDescent="0.3">
      <c r="A2" s="488" t="s">
        <v>731</v>
      </c>
      <c r="B2" s="490" t="s">
        <v>732</v>
      </c>
      <c r="C2" s="491"/>
      <c r="D2" s="491"/>
      <c r="E2" s="492"/>
      <c r="F2" s="401" t="s">
        <v>733</v>
      </c>
      <c r="G2" s="340" t="s">
        <v>734</v>
      </c>
      <c r="H2" s="341" t="s">
        <v>735</v>
      </c>
      <c r="I2" s="342" t="s">
        <v>736</v>
      </c>
      <c r="J2" s="493" t="s">
        <v>737</v>
      </c>
      <c r="K2" s="494"/>
    </row>
    <row r="3" spans="1:11" x14ac:dyDescent="0.3">
      <c r="A3" s="489"/>
      <c r="B3" s="343" t="s">
        <v>738</v>
      </c>
      <c r="C3" s="344" t="s">
        <v>739</v>
      </c>
      <c r="D3" s="344" t="s">
        <v>740</v>
      </c>
      <c r="E3" s="344" t="s">
        <v>741</v>
      </c>
      <c r="F3" s="345" t="s">
        <v>742</v>
      </c>
      <c r="G3" s="346" t="s">
        <v>743</v>
      </c>
      <c r="H3" s="344" t="s">
        <v>744</v>
      </c>
      <c r="I3" s="347" t="s">
        <v>71</v>
      </c>
      <c r="J3" s="347" t="s">
        <v>745</v>
      </c>
      <c r="K3" s="347" t="s">
        <v>746</v>
      </c>
    </row>
    <row r="4" spans="1:11" x14ac:dyDescent="0.3">
      <c r="A4" s="348" t="s">
        <v>747</v>
      </c>
      <c r="B4" s="349"/>
      <c r="C4" s="350"/>
      <c r="D4" s="350"/>
      <c r="E4" s="350"/>
      <c r="F4" s="349"/>
      <c r="G4" s="351"/>
      <c r="H4" s="350"/>
      <c r="I4" s="352"/>
      <c r="J4" s="353"/>
      <c r="K4" s="353"/>
    </row>
    <row r="5" spans="1:11" x14ac:dyDescent="0.3">
      <c r="A5" s="354" t="s">
        <v>748</v>
      </c>
      <c r="B5" s="355">
        <v>1</v>
      </c>
      <c r="C5" s="356">
        <f t="shared" ref="C5:C11" si="0">1*12*2.54/100</f>
        <v>0.30480000000000002</v>
      </c>
      <c r="D5" s="356">
        <f t="shared" ref="D5:D11" si="1">+B5*C5*1.1</f>
        <v>0.33528000000000002</v>
      </c>
      <c r="E5" s="356">
        <v>0.25</v>
      </c>
      <c r="F5" s="355">
        <v>750</v>
      </c>
      <c r="G5" s="357">
        <v>5</v>
      </c>
      <c r="H5" s="356">
        <f>(+D5*E5)/10*F5</f>
        <v>6.2865000000000002</v>
      </c>
      <c r="I5" s="358">
        <v>50</v>
      </c>
      <c r="J5" s="359">
        <f t="shared" ref="J5:J11" si="2">1.36*K5</f>
        <v>23.748999999999999</v>
      </c>
      <c r="K5" s="359">
        <f t="shared" ref="K5:K11" si="3">(G5/3.6*H5)/(I5/100)</f>
        <v>17.462499999999999</v>
      </c>
    </row>
    <row r="6" spans="1:11" x14ac:dyDescent="0.3">
      <c r="A6" s="360"/>
      <c r="B6" s="355">
        <v>2</v>
      </c>
      <c r="C6" s="356">
        <f t="shared" si="0"/>
        <v>0.30480000000000002</v>
      </c>
      <c r="D6" s="356">
        <f t="shared" si="1"/>
        <v>0.67056000000000004</v>
      </c>
      <c r="E6" s="356">
        <v>0.25</v>
      </c>
      <c r="F6" s="355">
        <v>750</v>
      </c>
      <c r="G6" s="357">
        <v>5</v>
      </c>
      <c r="H6" s="356">
        <f>(+D6*E6)/10*F6</f>
        <v>12.573</v>
      </c>
      <c r="I6" s="358">
        <v>50</v>
      </c>
      <c r="J6" s="359">
        <f t="shared" si="2"/>
        <v>47.497999999999998</v>
      </c>
      <c r="K6" s="359">
        <f t="shared" si="3"/>
        <v>34.924999999999997</v>
      </c>
    </row>
    <row r="7" spans="1:11" x14ac:dyDescent="0.3">
      <c r="A7" s="360"/>
      <c r="B7" s="355">
        <v>3</v>
      </c>
      <c r="C7" s="356">
        <f t="shared" si="0"/>
        <v>0.30480000000000002</v>
      </c>
      <c r="D7" s="356">
        <f t="shared" si="1"/>
        <v>1.0058400000000003</v>
      </c>
      <c r="E7" s="356">
        <v>0.25</v>
      </c>
      <c r="F7" s="355">
        <v>750</v>
      </c>
      <c r="G7" s="357">
        <v>5</v>
      </c>
      <c r="H7" s="356">
        <f>(+D7*E7)/10*F7</f>
        <v>18.859500000000008</v>
      </c>
      <c r="I7" s="358">
        <v>50</v>
      </c>
      <c r="J7" s="359">
        <f t="shared" si="2"/>
        <v>71.247000000000028</v>
      </c>
      <c r="K7" s="359">
        <f t="shared" si="3"/>
        <v>52.387500000000017</v>
      </c>
    </row>
    <row r="8" spans="1:11" x14ac:dyDescent="0.3">
      <c r="A8" s="360"/>
      <c r="B8" s="355">
        <v>4</v>
      </c>
      <c r="C8" s="356">
        <f t="shared" si="0"/>
        <v>0.30480000000000002</v>
      </c>
      <c r="D8" s="356">
        <f t="shared" si="1"/>
        <v>1.3411200000000001</v>
      </c>
      <c r="E8" s="356">
        <v>0.25</v>
      </c>
      <c r="F8" s="355">
        <v>750</v>
      </c>
      <c r="G8" s="357">
        <v>5</v>
      </c>
      <c r="H8" s="356">
        <f>(+D8*E8)/10*F8</f>
        <v>25.146000000000001</v>
      </c>
      <c r="I8" s="358">
        <v>50</v>
      </c>
      <c r="J8" s="359">
        <f t="shared" si="2"/>
        <v>94.995999999999995</v>
      </c>
      <c r="K8" s="359">
        <f t="shared" si="3"/>
        <v>69.849999999999994</v>
      </c>
    </row>
    <row r="9" spans="1:11" x14ac:dyDescent="0.3">
      <c r="A9" s="360"/>
      <c r="B9" s="355"/>
      <c r="C9" s="356"/>
      <c r="D9" s="356"/>
      <c r="E9" s="356"/>
      <c r="F9" s="355"/>
      <c r="G9" s="357"/>
      <c r="H9" s="356"/>
      <c r="I9" s="358"/>
      <c r="J9" s="359"/>
      <c r="K9" s="359"/>
    </row>
    <row r="10" spans="1:11" x14ac:dyDescent="0.3">
      <c r="A10" s="354" t="s">
        <v>749</v>
      </c>
      <c r="B10" s="355">
        <v>2</v>
      </c>
      <c r="C10" s="356">
        <f t="shared" si="0"/>
        <v>0.30480000000000002</v>
      </c>
      <c r="D10" s="356">
        <f t="shared" si="1"/>
        <v>0.67056000000000004</v>
      </c>
      <c r="E10" s="356">
        <v>0.25</v>
      </c>
      <c r="F10" s="355">
        <v>750</v>
      </c>
      <c r="G10" s="357">
        <v>5</v>
      </c>
      <c r="H10" s="356">
        <f>(+D10*E10)/10*F10</f>
        <v>12.573</v>
      </c>
      <c r="I10" s="358">
        <v>50</v>
      </c>
      <c r="J10" s="359">
        <f t="shared" si="2"/>
        <v>47.497999999999998</v>
      </c>
      <c r="K10" s="359">
        <f t="shared" si="3"/>
        <v>34.924999999999997</v>
      </c>
    </row>
    <row r="11" spans="1:11" x14ac:dyDescent="0.3">
      <c r="A11" s="360"/>
      <c r="B11" s="355">
        <v>3</v>
      </c>
      <c r="C11" s="356">
        <f t="shared" si="0"/>
        <v>0.30480000000000002</v>
      </c>
      <c r="D11" s="356">
        <f t="shared" si="1"/>
        <v>1.0058400000000003</v>
      </c>
      <c r="E11" s="356">
        <v>0.25</v>
      </c>
      <c r="F11" s="355">
        <v>750</v>
      </c>
      <c r="G11" s="357">
        <v>5</v>
      </c>
      <c r="H11" s="356">
        <f>(+D11*E11)/10*F11</f>
        <v>18.859500000000008</v>
      </c>
      <c r="I11" s="358">
        <v>50</v>
      </c>
      <c r="J11" s="359">
        <f t="shared" si="2"/>
        <v>71.247000000000028</v>
      </c>
      <c r="K11" s="359">
        <f t="shared" si="3"/>
        <v>52.387500000000017</v>
      </c>
    </row>
    <row r="12" spans="1:11" x14ac:dyDescent="0.3">
      <c r="A12" s="361" t="s">
        <v>750</v>
      </c>
      <c r="B12" s="355"/>
      <c r="C12" s="356"/>
      <c r="D12" s="356"/>
      <c r="E12" s="356"/>
      <c r="F12" s="355"/>
      <c r="G12" s="357"/>
      <c r="H12" s="356"/>
      <c r="I12" s="358"/>
      <c r="J12" s="359"/>
      <c r="K12" s="359"/>
    </row>
    <row r="13" spans="1:11" x14ac:dyDescent="0.3">
      <c r="A13" s="354" t="s">
        <v>751</v>
      </c>
      <c r="B13" s="355">
        <v>1</v>
      </c>
      <c r="C13" s="356">
        <v>0.5</v>
      </c>
      <c r="D13" s="356">
        <f>+B13*C13</f>
        <v>0.5</v>
      </c>
      <c r="E13" s="356">
        <v>0.5</v>
      </c>
      <c r="F13" s="355">
        <v>1000</v>
      </c>
      <c r="G13" s="357">
        <v>2</v>
      </c>
      <c r="H13" s="356">
        <f>(+D13*E13)/10*F13</f>
        <v>25</v>
      </c>
      <c r="I13" s="358">
        <v>50</v>
      </c>
      <c r="J13" s="359">
        <f>1.36*K13</f>
        <v>37.777777777777779</v>
      </c>
      <c r="K13" s="359">
        <f>(G13/3.6*H13)/(I13/100)</f>
        <v>27.777777777777779</v>
      </c>
    </row>
    <row r="14" spans="1:11" x14ac:dyDescent="0.3">
      <c r="A14" s="360"/>
      <c r="B14" s="355">
        <v>2</v>
      </c>
      <c r="C14" s="356">
        <v>0.5</v>
      </c>
      <c r="D14" s="356">
        <f>+B14*C14</f>
        <v>1</v>
      </c>
      <c r="E14" s="356">
        <v>0.5</v>
      </c>
      <c r="F14" s="355">
        <v>1000</v>
      </c>
      <c r="G14" s="357">
        <v>2</v>
      </c>
      <c r="H14" s="356">
        <f>(+D14*E14)/10*F14</f>
        <v>50</v>
      </c>
      <c r="I14" s="358">
        <v>50</v>
      </c>
      <c r="J14" s="359">
        <f>1.36*K14</f>
        <v>75.555555555555557</v>
      </c>
      <c r="K14" s="359">
        <f>(G14/3.6*H14)/(I14/100)</f>
        <v>55.555555555555557</v>
      </c>
    </row>
    <row r="15" spans="1:11" x14ac:dyDescent="0.3">
      <c r="A15" s="360"/>
      <c r="B15" s="355">
        <v>3</v>
      </c>
      <c r="C15" s="356">
        <v>0.5</v>
      </c>
      <c r="D15" s="356">
        <f>+B15*C15</f>
        <v>1.5</v>
      </c>
      <c r="E15" s="356">
        <v>0.5</v>
      </c>
      <c r="F15" s="355">
        <v>1000</v>
      </c>
      <c r="G15" s="357">
        <v>2</v>
      </c>
      <c r="H15" s="356">
        <f>(+D15*E15)/10*F15</f>
        <v>75</v>
      </c>
      <c r="I15" s="358">
        <v>50</v>
      </c>
      <c r="J15" s="359">
        <f>1.36*K15</f>
        <v>113.33333333333336</v>
      </c>
      <c r="K15" s="359">
        <f>(G15/3.6*H15)/(I15/100)</f>
        <v>83.333333333333343</v>
      </c>
    </row>
    <row r="16" spans="1:11" x14ac:dyDescent="0.3">
      <c r="A16" s="361" t="s">
        <v>752</v>
      </c>
      <c r="B16" s="355"/>
      <c r="C16" s="356"/>
      <c r="D16" s="356"/>
      <c r="E16" s="356"/>
      <c r="F16" s="355"/>
      <c r="G16" s="357"/>
      <c r="H16" s="356"/>
      <c r="I16" s="358"/>
      <c r="J16" s="359"/>
      <c r="K16" s="359"/>
    </row>
    <row r="17" spans="1:11" x14ac:dyDescent="0.3">
      <c r="A17" s="354" t="s">
        <v>753</v>
      </c>
      <c r="B17" s="355">
        <v>5</v>
      </c>
      <c r="C17" s="356">
        <v>0.25</v>
      </c>
      <c r="D17" s="356">
        <f>+B17*C17</f>
        <v>1.25</v>
      </c>
      <c r="E17" s="356">
        <v>0.2</v>
      </c>
      <c r="F17" s="355">
        <v>500</v>
      </c>
      <c r="G17" s="357">
        <v>4</v>
      </c>
      <c r="H17" s="356">
        <f>(+D17*E17)/10*F17</f>
        <v>12.5</v>
      </c>
      <c r="I17" s="358">
        <v>50</v>
      </c>
      <c r="J17" s="359">
        <f>1.36*K17</f>
        <v>37.777777777777779</v>
      </c>
      <c r="K17" s="359">
        <f>(G17/3.6*H17)/(I17/100)</f>
        <v>27.777777777777779</v>
      </c>
    </row>
    <row r="18" spans="1:11" x14ac:dyDescent="0.3">
      <c r="A18" s="360"/>
      <c r="B18" s="355">
        <v>7</v>
      </c>
      <c r="C18" s="356">
        <v>0.25</v>
      </c>
      <c r="D18" s="356">
        <f>+B18*C18</f>
        <v>1.75</v>
      </c>
      <c r="E18" s="356">
        <v>0.2</v>
      </c>
      <c r="F18" s="355">
        <v>500</v>
      </c>
      <c r="G18" s="357">
        <v>4</v>
      </c>
      <c r="H18" s="356">
        <f>(+D18*E18)/10*F18</f>
        <v>17.5</v>
      </c>
      <c r="I18" s="358">
        <v>50</v>
      </c>
      <c r="J18" s="359">
        <f>1.36*K18</f>
        <v>52.8888888888889</v>
      </c>
      <c r="K18" s="359">
        <f>(G18/3.6*H18)/(I18/100)</f>
        <v>38.888888888888893</v>
      </c>
    </row>
    <row r="19" spans="1:11" x14ac:dyDescent="0.3">
      <c r="A19" s="360"/>
      <c r="B19" s="355">
        <v>9</v>
      </c>
      <c r="C19" s="356">
        <v>0.25</v>
      </c>
      <c r="D19" s="356">
        <f>+B19*C19</f>
        <v>2.25</v>
      </c>
      <c r="E19" s="356">
        <v>0.2</v>
      </c>
      <c r="F19" s="355">
        <v>500</v>
      </c>
      <c r="G19" s="357">
        <v>4</v>
      </c>
      <c r="H19" s="356">
        <f>(+D19*E19)/10*F19</f>
        <v>22.5</v>
      </c>
      <c r="I19" s="358">
        <v>50</v>
      </c>
      <c r="J19" s="359">
        <f>1.36*K19</f>
        <v>68</v>
      </c>
      <c r="K19" s="359">
        <f>(G19/3.6*H19)/(I19/100)</f>
        <v>50</v>
      </c>
    </row>
    <row r="20" spans="1:11" x14ac:dyDescent="0.3">
      <c r="A20" s="360"/>
      <c r="B20" s="355"/>
      <c r="C20" s="356"/>
      <c r="D20" s="356"/>
      <c r="E20" s="356"/>
      <c r="F20" s="355"/>
      <c r="G20" s="357"/>
      <c r="H20" s="356"/>
      <c r="I20" s="358"/>
      <c r="J20" s="359"/>
      <c r="K20" s="359"/>
    </row>
    <row r="21" spans="1:11" x14ac:dyDescent="0.3">
      <c r="A21" s="354" t="s">
        <v>754</v>
      </c>
      <c r="B21" s="355">
        <v>18</v>
      </c>
      <c r="C21" s="356">
        <v>0.1</v>
      </c>
      <c r="D21" s="356">
        <f>+B21*C21</f>
        <v>1.8</v>
      </c>
      <c r="E21" s="356">
        <v>0.1</v>
      </c>
      <c r="F21" s="355">
        <v>250</v>
      </c>
      <c r="G21" s="357">
        <v>10</v>
      </c>
      <c r="H21" s="356">
        <f>(+D21*E21)/10*F21</f>
        <v>4.5000000000000009</v>
      </c>
      <c r="I21" s="358">
        <v>50</v>
      </c>
      <c r="J21" s="359">
        <f>1.36*K21</f>
        <v>34.000000000000007</v>
      </c>
      <c r="K21" s="359">
        <f>(G21/3.6*H21)/(I21/100)</f>
        <v>25.000000000000004</v>
      </c>
    </row>
    <row r="22" spans="1:11" x14ac:dyDescent="0.3">
      <c r="A22" s="360"/>
      <c r="B22" s="355">
        <v>27</v>
      </c>
      <c r="C22" s="356">
        <v>0.1</v>
      </c>
      <c r="D22" s="356">
        <f>+B22*C22</f>
        <v>2.7</v>
      </c>
      <c r="E22" s="356">
        <v>0.1</v>
      </c>
      <c r="F22" s="355">
        <v>250</v>
      </c>
      <c r="G22" s="357">
        <v>10</v>
      </c>
      <c r="H22" s="356">
        <f>(+D22*E22)/10*F22</f>
        <v>6.7500000000000009</v>
      </c>
      <c r="I22" s="358">
        <v>50</v>
      </c>
      <c r="J22" s="359">
        <f>1.36*K22</f>
        <v>51.000000000000014</v>
      </c>
      <c r="K22" s="359">
        <f>(G22/3.6*H22)/(I22/100)</f>
        <v>37.500000000000007</v>
      </c>
    </row>
    <row r="23" spans="1:11" x14ac:dyDescent="0.3">
      <c r="A23" s="362"/>
      <c r="B23" s="355">
        <v>45</v>
      </c>
      <c r="C23" s="356">
        <v>0.1</v>
      </c>
      <c r="D23" s="356">
        <f>+B23*C23</f>
        <v>4.5</v>
      </c>
      <c r="E23" s="356">
        <v>0.1</v>
      </c>
      <c r="F23" s="355">
        <v>250</v>
      </c>
      <c r="G23" s="357">
        <v>10</v>
      </c>
      <c r="H23" s="356">
        <f>(+D23*E23)/10*F23</f>
        <v>11.25</v>
      </c>
      <c r="I23" s="358">
        <v>50</v>
      </c>
      <c r="J23" s="359">
        <f>1.36*K23</f>
        <v>85</v>
      </c>
      <c r="K23" s="359">
        <f>(G23/3.6*H23)/(I23/100)</f>
        <v>62.5</v>
      </c>
    </row>
    <row r="24" spans="1:11" x14ac:dyDescent="0.3">
      <c r="A24" s="362"/>
      <c r="B24" s="355">
        <v>63</v>
      </c>
      <c r="C24" s="356">
        <v>0.1</v>
      </c>
      <c r="D24" s="356">
        <f>+B24*C24</f>
        <v>6.3000000000000007</v>
      </c>
      <c r="E24" s="356">
        <v>0.1</v>
      </c>
      <c r="F24" s="355">
        <v>250</v>
      </c>
      <c r="G24" s="357">
        <v>10</v>
      </c>
      <c r="H24" s="356">
        <f>(+D24*E24)/10*F24</f>
        <v>15.750000000000004</v>
      </c>
      <c r="I24" s="358">
        <v>50</v>
      </c>
      <c r="J24" s="359">
        <f>1.36*K24</f>
        <v>119.00000000000003</v>
      </c>
      <c r="K24" s="359">
        <f>(G24/3.6*H24)/(I24/100)</f>
        <v>87.500000000000014</v>
      </c>
    </row>
    <row r="25" spans="1:11" x14ac:dyDescent="0.3">
      <c r="A25" s="362"/>
      <c r="B25" s="355"/>
      <c r="C25" s="356"/>
      <c r="D25" s="356"/>
      <c r="E25" s="356"/>
      <c r="F25" s="355"/>
      <c r="G25" s="357"/>
      <c r="H25" s="356"/>
      <c r="I25" s="358"/>
      <c r="J25" s="359"/>
      <c r="K25" s="359"/>
    </row>
    <row r="26" spans="1:11" x14ac:dyDescent="0.3">
      <c r="A26" s="361" t="s">
        <v>755</v>
      </c>
      <c r="B26" s="355"/>
      <c r="C26" s="356"/>
      <c r="D26" s="356">
        <v>1.5</v>
      </c>
      <c r="E26" s="356"/>
      <c r="F26" s="355"/>
      <c r="G26" s="357">
        <v>6</v>
      </c>
      <c r="H26" s="356"/>
      <c r="I26" s="358"/>
      <c r="J26" s="359">
        <v>30</v>
      </c>
      <c r="K26" s="359">
        <f>+J26*0.736</f>
        <v>22.08</v>
      </c>
    </row>
    <row r="27" spans="1:11" x14ac:dyDescent="0.3">
      <c r="A27" s="354" t="s">
        <v>756</v>
      </c>
      <c r="B27" s="355"/>
      <c r="C27" s="356"/>
      <c r="D27" s="356">
        <v>2</v>
      </c>
      <c r="E27" s="356"/>
      <c r="F27" s="355"/>
      <c r="G27" s="357">
        <v>6</v>
      </c>
      <c r="H27" s="356"/>
      <c r="I27" s="358"/>
      <c r="J27" s="359">
        <v>35</v>
      </c>
      <c r="K27" s="359">
        <f>+J27*0.736</f>
        <v>25.759999999999998</v>
      </c>
    </row>
    <row r="28" spans="1:11" x14ac:dyDescent="0.3">
      <c r="A28" s="360"/>
      <c r="B28" s="355"/>
      <c r="C28" s="356"/>
      <c r="D28" s="356">
        <v>2.5</v>
      </c>
      <c r="E28" s="356"/>
      <c r="F28" s="355"/>
      <c r="G28" s="357">
        <v>6</v>
      </c>
      <c r="H28" s="356"/>
      <c r="I28" s="358"/>
      <c r="J28" s="359">
        <v>40</v>
      </c>
      <c r="K28" s="359">
        <f>+J28*0.736</f>
        <v>29.439999999999998</v>
      </c>
    </row>
    <row r="29" spans="1:11" x14ac:dyDescent="0.3">
      <c r="A29" s="360"/>
      <c r="B29" s="355"/>
      <c r="C29" s="356"/>
      <c r="D29" s="356">
        <v>3</v>
      </c>
      <c r="E29" s="356"/>
      <c r="F29" s="355"/>
      <c r="G29" s="357">
        <v>6</v>
      </c>
      <c r="H29" s="356"/>
      <c r="I29" s="358"/>
      <c r="J29" s="359">
        <v>45</v>
      </c>
      <c r="K29" s="359">
        <f>+J29*0.736</f>
        <v>33.119999999999997</v>
      </c>
    </row>
    <row r="30" spans="1:11" x14ac:dyDescent="0.3">
      <c r="A30" s="361" t="s">
        <v>757</v>
      </c>
      <c r="B30" s="355"/>
      <c r="C30" s="356"/>
      <c r="D30" s="356"/>
      <c r="E30" s="356"/>
      <c r="F30" s="355"/>
      <c r="G30" s="357"/>
      <c r="H30" s="356"/>
      <c r="I30" s="358"/>
      <c r="J30" s="359"/>
      <c r="K30" s="359"/>
    </row>
    <row r="31" spans="1:11" x14ac:dyDescent="0.3">
      <c r="A31" s="354" t="s">
        <v>758</v>
      </c>
      <c r="B31" s="355"/>
      <c r="C31" s="356"/>
      <c r="D31" s="356">
        <v>1.5</v>
      </c>
      <c r="E31" s="363">
        <v>0.1</v>
      </c>
      <c r="F31" s="355">
        <v>250</v>
      </c>
      <c r="G31" s="357">
        <v>5</v>
      </c>
      <c r="H31" s="356">
        <f>(+D31*E31)/10*F31</f>
        <v>3.7500000000000009</v>
      </c>
      <c r="I31" s="358">
        <v>50</v>
      </c>
      <c r="J31" s="359">
        <f>1.36*K31</f>
        <v>14.166666666666671</v>
      </c>
      <c r="K31" s="359">
        <f>(G31/3.6*H31)/(I31/100)</f>
        <v>10.41666666666667</v>
      </c>
    </row>
    <row r="32" spans="1:11" x14ac:dyDescent="0.3">
      <c r="A32" s="360"/>
      <c r="B32" s="355"/>
      <c r="C32" s="356"/>
      <c r="D32" s="356">
        <v>2.5</v>
      </c>
      <c r="E32" s="363">
        <v>0.1</v>
      </c>
      <c r="F32" s="355">
        <v>250</v>
      </c>
      <c r="G32" s="357">
        <v>5</v>
      </c>
      <c r="H32" s="356">
        <f>(+D32*E32)/10*F32</f>
        <v>6.25</v>
      </c>
      <c r="I32" s="358">
        <v>50</v>
      </c>
      <c r="J32" s="359">
        <f>1.36*K32</f>
        <v>23.611111111111111</v>
      </c>
      <c r="K32" s="359">
        <f>(G32/3.6*H32)/(I32/100)</f>
        <v>17.361111111111111</v>
      </c>
    </row>
    <row r="33" spans="1:11" x14ac:dyDescent="0.3">
      <c r="A33" s="360"/>
      <c r="B33" s="355"/>
      <c r="C33" s="356"/>
      <c r="D33" s="356">
        <v>3.5</v>
      </c>
      <c r="E33" s="363">
        <v>0.1</v>
      </c>
      <c r="F33" s="355">
        <v>250</v>
      </c>
      <c r="G33" s="357">
        <v>5</v>
      </c>
      <c r="H33" s="356">
        <f>(+D33*E33)/10*F33</f>
        <v>8.75</v>
      </c>
      <c r="I33" s="358">
        <v>50</v>
      </c>
      <c r="J33" s="359">
        <f>1.36*K33</f>
        <v>33.055555555555557</v>
      </c>
      <c r="K33" s="359">
        <f>(G33/3.6*H33)/(I33/100)</f>
        <v>24.305555555555554</v>
      </c>
    </row>
    <row r="34" spans="1:11" x14ac:dyDescent="0.3">
      <c r="A34" s="360"/>
      <c r="B34" s="355"/>
      <c r="C34" s="356"/>
      <c r="D34" s="356">
        <v>4.5</v>
      </c>
      <c r="E34" s="363">
        <v>0.1</v>
      </c>
      <c r="F34" s="355">
        <v>250</v>
      </c>
      <c r="G34" s="357">
        <v>5</v>
      </c>
      <c r="H34" s="356">
        <f>(+D34*E34)/10*F34</f>
        <v>11.25</v>
      </c>
      <c r="I34" s="358">
        <v>50</v>
      </c>
      <c r="J34" s="359">
        <f>1.36*K34</f>
        <v>42.5</v>
      </c>
      <c r="K34" s="359">
        <f>(G34/3.6*H34)/(I34/100)</f>
        <v>31.25</v>
      </c>
    </row>
    <row r="35" spans="1:11" x14ac:dyDescent="0.3">
      <c r="A35" s="360"/>
      <c r="B35" s="355"/>
      <c r="C35" s="356"/>
      <c r="D35" s="356">
        <v>6</v>
      </c>
      <c r="E35" s="363">
        <v>0.1</v>
      </c>
      <c r="F35" s="355">
        <v>250</v>
      </c>
      <c r="G35" s="357">
        <v>5</v>
      </c>
      <c r="H35" s="356">
        <f>(+D35*E35)/10*F35</f>
        <v>15.000000000000004</v>
      </c>
      <c r="I35" s="358">
        <v>50</v>
      </c>
      <c r="J35" s="359">
        <f>1.36*K35</f>
        <v>56.666666666666686</v>
      </c>
      <c r="K35" s="359">
        <f>(G35/3.6*H35)/(I35/100)</f>
        <v>41.666666666666679</v>
      </c>
    </row>
    <row r="36" spans="1:11" x14ac:dyDescent="0.3">
      <c r="A36" s="364"/>
      <c r="B36" s="355"/>
      <c r="C36" s="356"/>
      <c r="D36" s="356"/>
      <c r="E36" s="363"/>
      <c r="F36" s="355"/>
      <c r="G36" s="357"/>
      <c r="H36" s="356"/>
      <c r="I36" s="358"/>
      <c r="J36" s="359"/>
      <c r="K36" s="359"/>
    </row>
    <row r="37" spans="1:11" x14ac:dyDescent="0.3">
      <c r="A37" s="354" t="s">
        <v>759</v>
      </c>
      <c r="B37" s="355" t="s">
        <v>760</v>
      </c>
      <c r="C37" s="356"/>
      <c r="D37" s="356">
        <v>1.8</v>
      </c>
      <c r="E37" s="363">
        <v>0.15</v>
      </c>
      <c r="F37" s="355">
        <v>500</v>
      </c>
      <c r="G37" s="357">
        <v>5</v>
      </c>
      <c r="H37" s="356">
        <f>(+D37*E37)/10*F37</f>
        <v>13.500000000000002</v>
      </c>
      <c r="I37" s="358">
        <v>50</v>
      </c>
      <c r="J37" s="359">
        <f>1.36*K37</f>
        <v>51.000000000000014</v>
      </c>
      <c r="K37" s="359">
        <f>(G37/3.6*H37)/(I37/100)</f>
        <v>37.500000000000007</v>
      </c>
    </row>
    <row r="38" spans="1:11" x14ac:dyDescent="0.3">
      <c r="A38" s="360"/>
      <c r="B38" s="355" t="s">
        <v>761</v>
      </c>
      <c r="C38" s="356"/>
      <c r="D38" s="356">
        <v>2</v>
      </c>
      <c r="E38" s="363">
        <v>0.15</v>
      </c>
      <c r="F38" s="355">
        <v>500</v>
      </c>
      <c r="G38" s="357">
        <v>5</v>
      </c>
      <c r="H38" s="356">
        <f>(+D38*E38)/10*F38</f>
        <v>15</v>
      </c>
      <c r="I38" s="358">
        <v>50</v>
      </c>
      <c r="J38" s="359">
        <f>1.36*K38</f>
        <v>56.666666666666664</v>
      </c>
      <c r="K38" s="359">
        <f>(G38/3.6*H38)/(I38/100)</f>
        <v>41.666666666666664</v>
      </c>
    </row>
    <row r="39" spans="1:11" x14ac:dyDescent="0.3">
      <c r="A39" s="360"/>
      <c r="B39" s="355"/>
      <c r="C39" s="356"/>
      <c r="D39" s="356"/>
      <c r="E39" s="363"/>
      <c r="F39" s="355"/>
      <c r="G39" s="357"/>
      <c r="H39" s="356"/>
      <c r="I39" s="358"/>
      <c r="J39" s="359"/>
      <c r="K39" s="359"/>
    </row>
    <row r="40" spans="1:11" x14ac:dyDescent="0.3">
      <c r="A40" s="365" t="s">
        <v>762</v>
      </c>
      <c r="B40" s="354" t="s">
        <v>763</v>
      </c>
      <c r="C40" s="356"/>
      <c r="D40" s="356">
        <v>1.8</v>
      </c>
      <c r="E40" s="363">
        <v>0.15</v>
      </c>
      <c r="F40" s="355">
        <v>500</v>
      </c>
      <c r="G40" s="357">
        <v>5</v>
      </c>
      <c r="H40" s="356">
        <f>(+D40*E40)/10*F40</f>
        <v>13.500000000000002</v>
      </c>
      <c r="I40" s="358">
        <v>50</v>
      </c>
      <c r="J40" s="359">
        <f>1.36*K40</f>
        <v>51.000000000000014</v>
      </c>
      <c r="K40" s="359">
        <f>(G40/3.6*H40)/(I40/100)</f>
        <v>37.500000000000007</v>
      </c>
    </row>
    <row r="41" spans="1:11" x14ac:dyDescent="0.3">
      <c r="A41" s="360"/>
      <c r="B41" s="354" t="s">
        <v>764</v>
      </c>
      <c r="C41" s="356"/>
      <c r="D41" s="356">
        <v>2</v>
      </c>
      <c r="E41" s="363">
        <v>0.15</v>
      </c>
      <c r="F41" s="355">
        <v>500</v>
      </c>
      <c r="G41" s="357">
        <v>5</v>
      </c>
      <c r="H41" s="356">
        <f>(+D41*E41)/10*F41</f>
        <v>15</v>
      </c>
      <c r="I41" s="358">
        <v>50</v>
      </c>
      <c r="J41" s="359">
        <f>1.36*K41</f>
        <v>56.666666666666664</v>
      </c>
      <c r="K41" s="359">
        <f>(G41/3.6*H41)/(I41/100)</f>
        <v>41.666666666666664</v>
      </c>
    </row>
    <row r="42" spans="1:11" x14ac:dyDescent="0.3">
      <c r="A42" s="360"/>
      <c r="B42" s="354" t="s">
        <v>765</v>
      </c>
      <c r="C42" s="356"/>
      <c r="D42" s="356">
        <v>2.2000000000000002</v>
      </c>
      <c r="E42" s="363">
        <v>0.15</v>
      </c>
      <c r="F42" s="355">
        <v>500</v>
      </c>
      <c r="G42" s="357">
        <v>5</v>
      </c>
      <c r="H42" s="356">
        <f>(+D42*E42)/10*F42</f>
        <v>16.5</v>
      </c>
      <c r="I42" s="358">
        <v>50</v>
      </c>
      <c r="J42" s="359">
        <f>1.36*K42</f>
        <v>62.333333333333329</v>
      </c>
      <c r="K42" s="359">
        <f>(G42/3.6*H42)/(I42/100)</f>
        <v>45.833333333333329</v>
      </c>
    </row>
    <row r="43" spans="1:11" x14ac:dyDescent="0.3">
      <c r="A43" s="360"/>
      <c r="B43" s="354"/>
      <c r="C43" s="356"/>
      <c r="D43" s="356"/>
      <c r="E43" s="363"/>
      <c r="F43" s="355"/>
      <c r="G43" s="357"/>
      <c r="H43" s="356"/>
      <c r="I43" s="358"/>
      <c r="J43" s="359"/>
      <c r="K43" s="359"/>
    </row>
    <row r="44" spans="1:11" x14ac:dyDescent="0.3">
      <c r="A44" s="354" t="s">
        <v>766</v>
      </c>
      <c r="B44" s="355" t="s">
        <v>765</v>
      </c>
      <c r="C44" s="356"/>
      <c r="D44" s="356">
        <v>2.2000000000000002</v>
      </c>
      <c r="E44" s="363">
        <v>0.15</v>
      </c>
      <c r="F44" s="355">
        <v>500</v>
      </c>
      <c r="G44" s="357">
        <v>5</v>
      </c>
      <c r="H44" s="356">
        <f>(+D44*E44)/10*F44</f>
        <v>16.5</v>
      </c>
      <c r="I44" s="358">
        <v>50</v>
      </c>
      <c r="J44" s="359">
        <f>1.36*K44</f>
        <v>62.333333333333329</v>
      </c>
      <c r="K44" s="359">
        <f>(G44/3.6*H44)/(I44/100)</f>
        <v>45.833333333333329</v>
      </c>
    </row>
    <row r="45" spans="1:11" x14ac:dyDescent="0.3">
      <c r="A45" s="360"/>
      <c r="B45" s="355" t="s">
        <v>767</v>
      </c>
      <c r="C45" s="356"/>
      <c r="D45" s="356">
        <v>2.4</v>
      </c>
      <c r="E45" s="363">
        <v>0.15</v>
      </c>
      <c r="F45" s="355">
        <v>500</v>
      </c>
      <c r="G45" s="357">
        <v>5</v>
      </c>
      <c r="H45" s="356">
        <f>(+D45*E45)/10*F45</f>
        <v>18</v>
      </c>
      <c r="I45" s="358">
        <v>50</v>
      </c>
      <c r="J45" s="359">
        <f>1.36*K45</f>
        <v>68</v>
      </c>
      <c r="K45" s="359">
        <f>(G45/3.6*H45)/(I45/100)</f>
        <v>50</v>
      </c>
    </row>
    <row r="46" spans="1:11" x14ac:dyDescent="0.3">
      <c r="A46" s="360"/>
      <c r="B46" s="355" t="s">
        <v>768</v>
      </c>
      <c r="C46" s="356"/>
      <c r="D46" s="356">
        <v>2.6</v>
      </c>
      <c r="E46" s="363">
        <v>0.15</v>
      </c>
      <c r="F46" s="355">
        <v>500</v>
      </c>
      <c r="G46" s="357">
        <v>5</v>
      </c>
      <c r="H46" s="356">
        <f>(+D46*E46)/10*F46</f>
        <v>19.5</v>
      </c>
      <c r="I46" s="358">
        <v>50</v>
      </c>
      <c r="J46" s="359">
        <f>1.36*K46</f>
        <v>73.666666666666671</v>
      </c>
      <c r="K46" s="359">
        <f>(G46/3.6*H46)/(I46/100)</f>
        <v>54.166666666666664</v>
      </c>
    </row>
    <row r="47" spans="1:11" x14ac:dyDescent="0.3">
      <c r="A47" s="360"/>
      <c r="B47" s="355" t="s">
        <v>769</v>
      </c>
      <c r="C47" s="356"/>
      <c r="D47" s="356">
        <v>2.8</v>
      </c>
      <c r="E47" s="363">
        <v>0.15</v>
      </c>
      <c r="F47" s="355">
        <v>500</v>
      </c>
      <c r="G47" s="357">
        <v>5</v>
      </c>
      <c r="H47" s="356">
        <f>(+D47*E47)/10*F47</f>
        <v>20.999999999999996</v>
      </c>
      <c r="I47" s="358">
        <v>50</v>
      </c>
      <c r="J47" s="359">
        <f>1.36*K47</f>
        <v>79.333333333333329</v>
      </c>
      <c r="K47" s="359">
        <f>(G47/3.6*H47)/(I47/100)</f>
        <v>58.333333333333321</v>
      </c>
    </row>
    <row r="48" spans="1:11" x14ac:dyDescent="0.3">
      <c r="A48" s="360"/>
      <c r="B48" s="355"/>
      <c r="C48" s="356"/>
      <c r="D48" s="356"/>
      <c r="E48" s="363"/>
      <c r="F48" s="355"/>
      <c r="G48" s="357"/>
      <c r="H48" s="356"/>
      <c r="I48" s="358"/>
      <c r="J48" s="359"/>
      <c r="K48" s="359"/>
    </row>
    <row r="49" spans="1:11" x14ac:dyDescent="0.3">
      <c r="A49" s="354" t="s">
        <v>770</v>
      </c>
      <c r="B49" s="355" t="s">
        <v>771</v>
      </c>
      <c r="C49" s="356"/>
      <c r="D49" s="356">
        <v>2.6</v>
      </c>
      <c r="E49" s="363">
        <v>0.15</v>
      </c>
      <c r="F49" s="355">
        <v>500</v>
      </c>
      <c r="G49" s="357">
        <v>5</v>
      </c>
      <c r="H49" s="356">
        <f>(+D49*E49)/10*F49</f>
        <v>19.5</v>
      </c>
      <c r="I49" s="358">
        <v>50</v>
      </c>
      <c r="J49" s="359">
        <f>1.36*K49</f>
        <v>73.666666666666671</v>
      </c>
      <c r="K49" s="359">
        <f>(G49/3.6*H49)/(I49/100)</f>
        <v>54.166666666666664</v>
      </c>
    </row>
    <row r="50" spans="1:11" x14ac:dyDescent="0.3">
      <c r="A50" s="362"/>
      <c r="B50" s="355" t="s">
        <v>772</v>
      </c>
      <c r="C50" s="356"/>
      <c r="D50" s="356">
        <v>2.8</v>
      </c>
      <c r="E50" s="363">
        <v>0.15</v>
      </c>
      <c r="F50" s="355">
        <v>500</v>
      </c>
      <c r="G50" s="357">
        <v>5</v>
      </c>
      <c r="H50" s="356">
        <f>(+D50*E50)/10*F50</f>
        <v>20.999999999999996</v>
      </c>
      <c r="I50" s="358">
        <v>50</v>
      </c>
      <c r="J50" s="359">
        <f>1.36*K50</f>
        <v>79.333333333333329</v>
      </c>
      <c r="K50" s="359">
        <f>(G50/3.6*H50)/(I50/100)</f>
        <v>58.333333333333321</v>
      </c>
    </row>
    <row r="51" spans="1:11" x14ac:dyDescent="0.3">
      <c r="A51" s="362"/>
      <c r="B51" s="355" t="s">
        <v>773</v>
      </c>
      <c r="C51" s="356"/>
      <c r="D51" s="356">
        <v>3</v>
      </c>
      <c r="E51" s="363">
        <v>0.15</v>
      </c>
      <c r="F51" s="355">
        <v>500</v>
      </c>
      <c r="G51" s="357">
        <v>5</v>
      </c>
      <c r="H51" s="356">
        <f>(+D51*E51)/10*F51</f>
        <v>22.5</v>
      </c>
      <c r="I51" s="358">
        <v>50</v>
      </c>
      <c r="J51" s="359">
        <f>1.36*K51</f>
        <v>85</v>
      </c>
      <c r="K51" s="359">
        <f>(G51/3.6*H51)/(I51/100)</f>
        <v>62.5</v>
      </c>
    </row>
    <row r="52" spans="1:11" x14ac:dyDescent="0.3">
      <c r="A52" s="362"/>
      <c r="B52" s="355"/>
      <c r="C52" s="356"/>
      <c r="D52" s="356"/>
      <c r="E52" s="356"/>
      <c r="F52" s="355"/>
      <c r="G52" s="357"/>
      <c r="H52" s="356"/>
      <c r="I52" s="358"/>
      <c r="J52" s="359"/>
      <c r="K52" s="359"/>
    </row>
    <row r="53" spans="1:11" x14ac:dyDescent="0.3">
      <c r="A53" s="361" t="s">
        <v>774</v>
      </c>
      <c r="B53" s="355"/>
      <c r="C53" s="356"/>
      <c r="D53" s="356"/>
      <c r="E53" s="356"/>
      <c r="F53" s="355"/>
      <c r="G53" s="357"/>
      <c r="H53" s="356"/>
      <c r="I53" s="358"/>
      <c r="J53" s="359"/>
      <c r="K53" s="359"/>
    </row>
    <row r="54" spans="1:11" x14ac:dyDescent="0.3">
      <c r="A54" s="354" t="s">
        <v>775</v>
      </c>
      <c r="B54" s="355"/>
      <c r="C54" s="356"/>
      <c r="D54" s="356">
        <v>1.1000000000000001</v>
      </c>
      <c r="E54" s="356">
        <v>0.15</v>
      </c>
      <c r="F54" s="355"/>
      <c r="G54" s="357">
        <v>2</v>
      </c>
      <c r="H54" s="356">
        <f t="shared" ref="H54:H59" si="4">25*D54</f>
        <v>27.500000000000004</v>
      </c>
      <c r="I54" s="358">
        <v>80</v>
      </c>
      <c r="J54" s="359">
        <f t="shared" ref="J54:J59" si="5">1.36*K54</f>
        <v>25.972222222222229</v>
      </c>
      <c r="K54" s="359">
        <f t="shared" ref="K54:K59" si="6">(G54/3.6*H54)/(I54/100)</f>
        <v>19.097222222222225</v>
      </c>
    </row>
    <row r="55" spans="1:11" x14ac:dyDescent="0.3">
      <c r="A55" s="360"/>
      <c r="B55" s="355"/>
      <c r="C55" s="356"/>
      <c r="D55" s="356">
        <v>1.3</v>
      </c>
      <c r="E55" s="356">
        <v>0.15</v>
      </c>
      <c r="F55" s="355"/>
      <c r="G55" s="357">
        <v>2</v>
      </c>
      <c r="H55" s="356">
        <f t="shared" si="4"/>
        <v>32.5</v>
      </c>
      <c r="I55" s="358">
        <v>80</v>
      </c>
      <c r="J55" s="359">
        <f t="shared" si="5"/>
        <v>30.69444444444445</v>
      </c>
      <c r="K55" s="359">
        <f t="shared" si="6"/>
        <v>22.569444444444446</v>
      </c>
    </row>
    <row r="56" spans="1:11" x14ac:dyDescent="0.3">
      <c r="A56" s="360"/>
      <c r="B56" s="355"/>
      <c r="C56" s="356"/>
      <c r="D56" s="356">
        <v>1.5</v>
      </c>
      <c r="E56" s="356">
        <v>0.15</v>
      </c>
      <c r="F56" s="355"/>
      <c r="G56" s="357">
        <v>2</v>
      </c>
      <c r="H56" s="356">
        <f t="shared" si="4"/>
        <v>37.5</v>
      </c>
      <c r="I56" s="358">
        <v>80</v>
      </c>
      <c r="J56" s="359">
        <f t="shared" si="5"/>
        <v>35.416666666666671</v>
      </c>
      <c r="K56" s="359">
        <f t="shared" si="6"/>
        <v>26.041666666666668</v>
      </c>
    </row>
    <row r="57" spans="1:11" x14ac:dyDescent="0.3">
      <c r="A57" s="360"/>
      <c r="B57" s="355"/>
      <c r="C57" s="356"/>
      <c r="D57" s="356">
        <v>1.7</v>
      </c>
      <c r="E57" s="356">
        <v>0.15</v>
      </c>
      <c r="F57" s="355"/>
      <c r="G57" s="357">
        <v>2</v>
      </c>
      <c r="H57" s="356">
        <f t="shared" si="4"/>
        <v>42.5</v>
      </c>
      <c r="I57" s="358">
        <v>80</v>
      </c>
      <c r="J57" s="359">
        <f t="shared" si="5"/>
        <v>40.138888888888886</v>
      </c>
      <c r="K57" s="359">
        <f t="shared" si="6"/>
        <v>29.513888888888886</v>
      </c>
    </row>
    <row r="58" spans="1:11" x14ac:dyDescent="0.3">
      <c r="A58" s="360"/>
      <c r="B58" s="355"/>
      <c r="C58" s="356"/>
      <c r="D58" s="356">
        <v>1.9</v>
      </c>
      <c r="E58" s="356">
        <v>0.15</v>
      </c>
      <c r="F58" s="355"/>
      <c r="G58" s="357">
        <v>2</v>
      </c>
      <c r="H58" s="356">
        <f t="shared" si="4"/>
        <v>47.5</v>
      </c>
      <c r="I58" s="358">
        <v>80</v>
      </c>
      <c r="J58" s="359">
        <f t="shared" si="5"/>
        <v>44.861111111111107</v>
      </c>
      <c r="K58" s="359">
        <f t="shared" si="6"/>
        <v>32.986111111111107</v>
      </c>
    </row>
    <row r="59" spans="1:11" x14ac:dyDescent="0.3">
      <c r="A59" s="360"/>
      <c r="B59" s="355"/>
      <c r="C59" s="356"/>
      <c r="D59" s="356">
        <v>2.2000000000000002</v>
      </c>
      <c r="E59" s="356">
        <v>0.15</v>
      </c>
      <c r="F59" s="355"/>
      <c r="G59" s="357">
        <v>2</v>
      </c>
      <c r="H59" s="356">
        <f t="shared" si="4"/>
        <v>55.000000000000007</v>
      </c>
      <c r="I59" s="358">
        <v>80</v>
      </c>
      <c r="J59" s="359">
        <f t="shared" si="5"/>
        <v>51.944444444444457</v>
      </c>
      <c r="K59" s="359">
        <f t="shared" si="6"/>
        <v>38.19444444444445</v>
      </c>
    </row>
    <row r="60" spans="1:11" x14ac:dyDescent="0.3">
      <c r="A60" s="360"/>
      <c r="B60" s="355"/>
      <c r="C60" s="356"/>
      <c r="D60" s="356"/>
      <c r="E60" s="356"/>
      <c r="F60" s="355"/>
      <c r="G60" s="357"/>
      <c r="H60" s="356"/>
      <c r="I60" s="358"/>
      <c r="J60" s="359"/>
      <c r="K60" s="359"/>
    </row>
    <row r="61" spans="1:11" x14ac:dyDescent="0.3">
      <c r="A61" s="361" t="s">
        <v>776</v>
      </c>
      <c r="B61" s="366"/>
      <c r="C61" s="367"/>
      <c r="D61" s="367"/>
      <c r="E61" s="367"/>
      <c r="F61" s="366"/>
      <c r="G61" s="368"/>
      <c r="H61" s="367"/>
      <c r="I61" s="359"/>
      <c r="J61" s="359"/>
      <c r="K61" s="359"/>
    </row>
    <row r="62" spans="1:11" x14ac:dyDescent="0.3">
      <c r="A62" s="354" t="s">
        <v>777</v>
      </c>
      <c r="B62" s="355">
        <v>2</v>
      </c>
      <c r="C62" s="356">
        <v>0.8</v>
      </c>
      <c r="D62" s="356">
        <f>+B62*C62</f>
        <v>1.6</v>
      </c>
      <c r="E62" s="356">
        <v>0.15</v>
      </c>
      <c r="F62" s="355">
        <v>500</v>
      </c>
      <c r="G62" s="357">
        <v>3</v>
      </c>
      <c r="H62" s="356">
        <f>(+D62*E62)/10*F62</f>
        <v>12</v>
      </c>
      <c r="I62" s="358">
        <v>50</v>
      </c>
      <c r="J62" s="359">
        <f>1.36*K62</f>
        <v>27.200000000000003</v>
      </c>
      <c r="K62" s="359">
        <f>(G62/3.6*H62)/(I62/100)</f>
        <v>20</v>
      </c>
    </row>
    <row r="63" spans="1:11" x14ac:dyDescent="0.3">
      <c r="A63" s="354" t="s">
        <v>778</v>
      </c>
      <c r="B63" s="355">
        <v>3</v>
      </c>
      <c r="C63" s="356">
        <v>0.8</v>
      </c>
      <c r="D63" s="356">
        <f>+B63*C63</f>
        <v>2.4000000000000004</v>
      </c>
      <c r="E63" s="356">
        <v>0.15</v>
      </c>
      <c r="F63" s="355">
        <v>500</v>
      </c>
      <c r="G63" s="357">
        <v>3</v>
      </c>
      <c r="H63" s="356">
        <f>(+D63*E63)/10*F63</f>
        <v>18.000000000000004</v>
      </c>
      <c r="I63" s="358">
        <v>50</v>
      </c>
      <c r="J63" s="359">
        <f>1.36*K63</f>
        <v>40.800000000000004</v>
      </c>
      <c r="K63" s="359">
        <f>(G63/3.6*H63)/(I63/100)</f>
        <v>30.000000000000004</v>
      </c>
    </row>
    <row r="64" spans="1:11" x14ac:dyDescent="0.3">
      <c r="A64" s="354" t="s">
        <v>779</v>
      </c>
      <c r="B64" s="355">
        <v>4</v>
      </c>
      <c r="C64" s="356">
        <v>0.8</v>
      </c>
      <c r="D64" s="356">
        <f>+B64*C64</f>
        <v>3.2</v>
      </c>
      <c r="E64" s="356">
        <v>0.15</v>
      </c>
      <c r="F64" s="355">
        <v>500</v>
      </c>
      <c r="G64" s="357">
        <v>3</v>
      </c>
      <c r="H64" s="356">
        <f>(+D64*E64)/10*F64</f>
        <v>24</v>
      </c>
      <c r="I64" s="358">
        <v>50</v>
      </c>
      <c r="J64" s="359">
        <f>1.36*K64</f>
        <v>54.400000000000006</v>
      </c>
      <c r="K64" s="359">
        <f>(G64/3.6*H64)/(I64/100)</f>
        <v>40</v>
      </c>
    </row>
    <row r="65" spans="1:11" x14ac:dyDescent="0.3">
      <c r="A65" s="354" t="s">
        <v>780</v>
      </c>
      <c r="B65" s="355">
        <v>5</v>
      </c>
      <c r="C65" s="356">
        <v>0.8</v>
      </c>
      <c r="D65" s="356">
        <f>+B65*C65</f>
        <v>4</v>
      </c>
      <c r="E65" s="356">
        <v>0.15</v>
      </c>
      <c r="F65" s="355">
        <v>500</v>
      </c>
      <c r="G65" s="357">
        <v>3</v>
      </c>
      <c r="H65" s="356">
        <f>(+D65*E65)/10*F65</f>
        <v>30</v>
      </c>
      <c r="I65" s="358">
        <v>50</v>
      </c>
      <c r="J65" s="359">
        <f>1.36*K65</f>
        <v>68</v>
      </c>
      <c r="K65" s="359">
        <f>(G65/3.6*H65)/(I65/100)</f>
        <v>49.999999999999993</v>
      </c>
    </row>
    <row r="66" spans="1:11" x14ac:dyDescent="0.3">
      <c r="A66" s="354" t="s">
        <v>781</v>
      </c>
      <c r="B66" s="355">
        <v>6</v>
      </c>
      <c r="C66" s="356">
        <v>0.8</v>
      </c>
      <c r="D66" s="356">
        <f>+B66*C66</f>
        <v>4.8000000000000007</v>
      </c>
      <c r="E66" s="356">
        <v>0.15</v>
      </c>
      <c r="F66" s="355">
        <v>500</v>
      </c>
      <c r="G66" s="357">
        <v>3</v>
      </c>
      <c r="H66" s="356">
        <f>(+D66*E66)/10*F66</f>
        <v>36.000000000000007</v>
      </c>
      <c r="I66" s="358">
        <v>50</v>
      </c>
      <c r="J66" s="359">
        <f>1.36*K66</f>
        <v>81.600000000000009</v>
      </c>
      <c r="K66" s="359">
        <f>(G66/3.6*H66)/(I66/100)</f>
        <v>60.000000000000007</v>
      </c>
    </row>
    <row r="67" spans="1:11" x14ac:dyDescent="0.3">
      <c r="A67" s="360"/>
      <c r="B67" s="355"/>
      <c r="C67" s="356"/>
      <c r="D67" s="356"/>
      <c r="E67" s="356"/>
      <c r="F67" s="355"/>
      <c r="G67" s="357"/>
      <c r="H67" s="356"/>
      <c r="I67" s="358"/>
      <c r="J67" s="359"/>
      <c r="K67" s="359"/>
    </row>
    <row r="68" spans="1:11" ht="21.6" x14ac:dyDescent="0.3">
      <c r="A68" s="361" t="s">
        <v>782</v>
      </c>
      <c r="B68" s="355"/>
      <c r="C68" s="356"/>
      <c r="D68" s="356"/>
      <c r="E68" s="356"/>
      <c r="F68" s="355"/>
      <c r="G68" s="357"/>
      <c r="H68" s="356"/>
      <c r="I68" s="358"/>
      <c r="J68" s="359"/>
      <c r="K68" s="359"/>
    </row>
    <row r="69" spans="1:11" x14ac:dyDescent="0.3">
      <c r="A69" s="354" t="s">
        <v>783</v>
      </c>
      <c r="B69" s="355"/>
      <c r="C69" s="356"/>
      <c r="D69" s="356">
        <v>2.5</v>
      </c>
      <c r="E69" s="356"/>
      <c r="F69" s="355"/>
      <c r="G69" s="357">
        <v>4</v>
      </c>
      <c r="H69" s="356"/>
      <c r="I69" s="358"/>
      <c r="J69" s="359">
        <v>22</v>
      </c>
      <c r="K69" s="359">
        <f>+J69*0.736</f>
        <v>16.192</v>
      </c>
    </row>
    <row r="70" spans="1:11" x14ac:dyDescent="0.3">
      <c r="A70" s="360"/>
      <c r="B70" s="355"/>
      <c r="C70" s="356"/>
      <c r="D70" s="356">
        <v>3</v>
      </c>
      <c r="E70" s="356"/>
      <c r="F70" s="355"/>
      <c r="G70" s="357">
        <v>4</v>
      </c>
      <c r="H70" s="356"/>
      <c r="I70" s="358"/>
      <c r="J70" s="359">
        <v>28</v>
      </c>
      <c r="K70" s="359">
        <f>+J70*0.736</f>
        <v>20.608000000000001</v>
      </c>
    </row>
    <row r="71" spans="1:11" x14ac:dyDescent="0.3">
      <c r="A71" s="360"/>
      <c r="B71" s="355"/>
      <c r="C71" s="356"/>
      <c r="D71" s="356">
        <v>3.5</v>
      </c>
      <c r="E71" s="356"/>
      <c r="F71" s="355"/>
      <c r="G71" s="357">
        <v>4</v>
      </c>
      <c r="H71" s="356"/>
      <c r="I71" s="358"/>
      <c r="J71" s="359">
        <v>35</v>
      </c>
      <c r="K71" s="359">
        <f>+J71*0.736</f>
        <v>25.759999999999998</v>
      </c>
    </row>
    <row r="72" spans="1:11" x14ac:dyDescent="0.3">
      <c r="A72" s="360"/>
      <c r="B72" s="355"/>
      <c r="C72" s="356"/>
      <c r="D72" s="369"/>
      <c r="E72" s="369"/>
      <c r="F72" s="362"/>
      <c r="G72" s="370"/>
      <c r="H72" s="369"/>
      <c r="I72" s="371"/>
      <c r="J72" s="372"/>
      <c r="K72" s="372"/>
    </row>
    <row r="73" spans="1:11" x14ac:dyDescent="0.3">
      <c r="A73" s="354" t="s">
        <v>784</v>
      </c>
      <c r="B73" s="355"/>
      <c r="C73" s="356"/>
      <c r="D73" s="373"/>
      <c r="E73" s="373"/>
      <c r="F73" s="373"/>
      <c r="G73" s="357">
        <v>6</v>
      </c>
      <c r="H73" s="373"/>
      <c r="I73" s="373"/>
      <c r="J73" s="374">
        <v>30</v>
      </c>
      <c r="K73" s="359">
        <f t="shared" ref="K73:K81" si="7">+J73*0.736</f>
        <v>22.08</v>
      </c>
    </row>
    <row r="74" spans="1:11" x14ac:dyDescent="0.3">
      <c r="A74" s="354" t="s">
        <v>785</v>
      </c>
      <c r="B74" s="355"/>
      <c r="C74" s="356"/>
      <c r="D74" s="356"/>
      <c r="E74" s="356"/>
      <c r="F74" s="355"/>
      <c r="G74" s="357">
        <v>6</v>
      </c>
      <c r="H74" s="356"/>
      <c r="I74" s="358"/>
      <c r="J74" s="359">
        <v>40</v>
      </c>
      <c r="K74" s="359">
        <f t="shared" si="7"/>
        <v>29.439999999999998</v>
      </c>
    </row>
    <row r="75" spans="1:11" x14ac:dyDescent="0.3">
      <c r="A75" s="354" t="s">
        <v>786</v>
      </c>
      <c r="B75" s="355"/>
      <c r="C75" s="356"/>
      <c r="D75" s="356"/>
      <c r="E75" s="356"/>
      <c r="F75" s="355"/>
      <c r="G75" s="357">
        <v>6</v>
      </c>
      <c r="H75" s="356"/>
      <c r="I75" s="358"/>
      <c r="J75" s="359">
        <v>50</v>
      </c>
      <c r="K75" s="359">
        <f t="shared" si="7"/>
        <v>36.799999999999997</v>
      </c>
    </row>
    <row r="76" spans="1:11" x14ac:dyDescent="0.3">
      <c r="A76" s="354" t="s">
        <v>787</v>
      </c>
      <c r="B76" s="355"/>
      <c r="C76" s="356"/>
      <c r="D76" s="356"/>
      <c r="E76" s="356"/>
      <c r="F76" s="355"/>
      <c r="G76" s="357">
        <v>6</v>
      </c>
      <c r="H76" s="356"/>
      <c r="I76" s="358"/>
      <c r="J76" s="359">
        <v>60</v>
      </c>
      <c r="K76" s="359">
        <f t="shared" si="7"/>
        <v>44.16</v>
      </c>
    </row>
    <row r="77" spans="1:11" x14ac:dyDescent="0.3">
      <c r="A77" s="360"/>
      <c r="B77" s="355"/>
      <c r="C77" s="356"/>
      <c r="D77" s="356"/>
      <c r="E77" s="356"/>
      <c r="F77" s="355"/>
      <c r="G77" s="373"/>
      <c r="H77" s="356"/>
      <c r="I77" s="358"/>
      <c r="J77" s="359"/>
      <c r="K77" s="359"/>
    </row>
    <row r="78" spans="1:11" x14ac:dyDescent="0.3">
      <c r="A78" s="354" t="s">
        <v>788</v>
      </c>
      <c r="B78" s="355"/>
      <c r="C78" s="356"/>
      <c r="D78" s="356"/>
      <c r="E78" s="356"/>
      <c r="F78" s="355"/>
      <c r="G78" s="357">
        <v>6</v>
      </c>
      <c r="H78" s="356"/>
      <c r="I78" s="358"/>
      <c r="J78" s="359">
        <v>30</v>
      </c>
      <c r="K78" s="359">
        <f t="shared" si="7"/>
        <v>22.08</v>
      </c>
    </row>
    <row r="79" spans="1:11" x14ac:dyDescent="0.3">
      <c r="A79" s="354" t="s">
        <v>789</v>
      </c>
      <c r="B79" s="355"/>
      <c r="C79" s="356"/>
      <c r="D79" s="356"/>
      <c r="E79" s="356"/>
      <c r="F79" s="355"/>
      <c r="G79" s="357">
        <v>6</v>
      </c>
      <c r="H79" s="356"/>
      <c r="I79" s="358"/>
      <c r="J79" s="359">
        <v>40</v>
      </c>
      <c r="K79" s="359">
        <f t="shared" si="7"/>
        <v>29.439999999999998</v>
      </c>
    </row>
    <row r="80" spans="1:11" x14ac:dyDescent="0.3">
      <c r="A80" s="354" t="s">
        <v>790</v>
      </c>
      <c r="B80" s="355"/>
      <c r="C80" s="356"/>
      <c r="D80" s="356"/>
      <c r="E80" s="356"/>
      <c r="F80" s="355"/>
      <c r="G80" s="357"/>
      <c r="H80" s="356"/>
      <c r="I80" s="358"/>
      <c r="J80" s="359">
        <v>50</v>
      </c>
      <c r="K80" s="359">
        <f t="shared" si="7"/>
        <v>36.799999999999997</v>
      </c>
    </row>
    <row r="81" spans="1:11" x14ac:dyDescent="0.3">
      <c r="A81" s="354" t="s">
        <v>791</v>
      </c>
      <c r="B81" s="355"/>
      <c r="C81" s="356"/>
      <c r="D81" s="356"/>
      <c r="E81" s="356"/>
      <c r="F81" s="355"/>
      <c r="G81" s="357">
        <v>6</v>
      </c>
      <c r="H81" s="356"/>
      <c r="I81" s="358"/>
      <c r="J81" s="359">
        <v>60</v>
      </c>
      <c r="K81" s="359">
        <f t="shared" si="7"/>
        <v>44.16</v>
      </c>
    </row>
    <row r="82" spans="1:11" x14ac:dyDescent="0.3">
      <c r="A82" s="360"/>
      <c r="B82" s="355"/>
      <c r="C82" s="356"/>
      <c r="D82" s="356"/>
      <c r="E82" s="356"/>
      <c r="F82" s="355"/>
      <c r="G82" s="373"/>
      <c r="H82" s="356"/>
      <c r="I82" s="358"/>
      <c r="J82" s="359"/>
      <c r="K82" s="359"/>
    </row>
    <row r="83" spans="1:11" x14ac:dyDescent="0.3">
      <c r="A83" s="354" t="s">
        <v>792</v>
      </c>
      <c r="B83" s="355">
        <v>1</v>
      </c>
      <c r="C83" s="356">
        <v>0.8</v>
      </c>
      <c r="D83" s="356">
        <f>+B83*C83</f>
        <v>0.8</v>
      </c>
      <c r="E83" s="356">
        <v>0.5</v>
      </c>
      <c r="F83" s="355">
        <v>750</v>
      </c>
      <c r="G83" s="357">
        <v>2</v>
      </c>
      <c r="H83" s="356"/>
      <c r="I83" s="358"/>
      <c r="J83" s="359">
        <v>45</v>
      </c>
      <c r="K83" s="359">
        <f>+J83*0.736</f>
        <v>33.119999999999997</v>
      </c>
    </row>
    <row r="84" spans="1:11" x14ac:dyDescent="0.3">
      <c r="A84" s="354" t="s">
        <v>793</v>
      </c>
      <c r="B84" s="355">
        <v>2</v>
      </c>
      <c r="C84" s="356">
        <v>0.8</v>
      </c>
      <c r="D84" s="356">
        <f>+B84*C84</f>
        <v>1.6</v>
      </c>
      <c r="E84" s="356">
        <v>0.5</v>
      </c>
      <c r="F84" s="355">
        <v>750</v>
      </c>
      <c r="G84" s="357">
        <v>2</v>
      </c>
      <c r="H84" s="356"/>
      <c r="I84" s="358"/>
      <c r="J84" s="359">
        <v>90</v>
      </c>
      <c r="K84" s="359">
        <f>+J84*0.736</f>
        <v>66.239999999999995</v>
      </c>
    </row>
    <row r="85" spans="1:11" x14ac:dyDescent="0.3">
      <c r="A85" s="354" t="s">
        <v>778</v>
      </c>
      <c r="B85" s="355">
        <v>3</v>
      </c>
      <c r="C85" s="356">
        <v>0.8</v>
      </c>
      <c r="D85" s="356">
        <f>+B85*C85</f>
        <v>2.4000000000000004</v>
      </c>
      <c r="E85" s="356">
        <v>0.5</v>
      </c>
      <c r="F85" s="355">
        <v>750</v>
      </c>
      <c r="G85" s="357">
        <v>2</v>
      </c>
      <c r="H85" s="356"/>
      <c r="I85" s="358"/>
      <c r="J85" s="359">
        <v>130</v>
      </c>
      <c r="K85" s="359">
        <f>+J85*0.736</f>
        <v>95.679999999999993</v>
      </c>
    </row>
    <row r="86" spans="1:11" x14ac:dyDescent="0.3">
      <c r="A86" s="364"/>
      <c r="B86" s="355"/>
      <c r="C86" s="356"/>
      <c r="D86" s="356"/>
      <c r="E86" s="356"/>
      <c r="F86" s="355"/>
      <c r="G86" s="357"/>
      <c r="H86" s="356"/>
      <c r="I86" s="358"/>
      <c r="J86" s="359"/>
      <c r="K86" s="359"/>
    </row>
    <row r="87" spans="1:11" x14ac:dyDescent="0.3">
      <c r="A87" s="361" t="s">
        <v>794</v>
      </c>
      <c r="B87" s="355"/>
      <c r="C87" s="356"/>
      <c r="D87" s="356"/>
      <c r="E87" s="356"/>
      <c r="F87" s="355"/>
      <c r="G87" s="357"/>
      <c r="H87" s="356"/>
      <c r="I87" s="358"/>
      <c r="J87" s="359"/>
      <c r="K87" s="359"/>
    </row>
    <row r="88" spans="1:11" x14ac:dyDescent="0.3">
      <c r="A88" s="354" t="s">
        <v>795</v>
      </c>
      <c r="B88" s="355"/>
      <c r="C88" s="356"/>
      <c r="D88" s="356">
        <v>2</v>
      </c>
      <c r="E88" s="356"/>
      <c r="F88" s="355"/>
      <c r="G88" s="357">
        <v>4</v>
      </c>
      <c r="H88" s="356"/>
      <c r="I88" s="358"/>
      <c r="J88" s="359">
        <v>30</v>
      </c>
      <c r="K88" s="359">
        <f>+J88*0.736</f>
        <v>22.08</v>
      </c>
    </row>
    <row r="89" spans="1:11" x14ac:dyDescent="0.3">
      <c r="A89" s="360"/>
      <c r="B89" s="355"/>
      <c r="C89" s="356"/>
      <c r="D89" s="356">
        <v>2.25</v>
      </c>
      <c r="E89" s="356"/>
      <c r="F89" s="355"/>
      <c r="G89" s="357">
        <v>4</v>
      </c>
      <c r="H89" s="356"/>
      <c r="I89" s="358"/>
      <c r="J89" s="359">
        <v>35</v>
      </c>
      <c r="K89" s="359">
        <f>+J89*0.736</f>
        <v>25.759999999999998</v>
      </c>
    </row>
    <row r="90" spans="1:11" x14ac:dyDescent="0.3">
      <c r="A90" s="360"/>
      <c r="B90" s="355"/>
      <c r="C90" s="356"/>
      <c r="D90" s="356">
        <v>2.5</v>
      </c>
      <c r="E90" s="356"/>
      <c r="F90" s="355"/>
      <c r="G90" s="357">
        <v>4</v>
      </c>
      <c r="H90" s="356"/>
      <c r="I90" s="358"/>
      <c r="J90" s="359">
        <v>40</v>
      </c>
      <c r="K90" s="359">
        <f>+J90*0.736</f>
        <v>29.439999999999998</v>
      </c>
    </row>
    <row r="91" spans="1:11" x14ac:dyDescent="0.3">
      <c r="A91" s="360"/>
      <c r="B91" s="355"/>
      <c r="C91" s="356"/>
      <c r="D91" s="356">
        <v>2.75</v>
      </c>
      <c r="E91" s="356"/>
      <c r="F91" s="355"/>
      <c r="G91" s="357">
        <v>4</v>
      </c>
      <c r="H91" s="356"/>
      <c r="I91" s="358"/>
      <c r="J91" s="359">
        <v>45</v>
      </c>
      <c r="K91" s="359">
        <f>+J91*0.736</f>
        <v>33.119999999999997</v>
      </c>
    </row>
    <row r="92" spans="1:11" x14ac:dyDescent="0.3">
      <c r="A92" s="360"/>
      <c r="B92" s="355"/>
      <c r="C92" s="356"/>
      <c r="D92" s="356">
        <v>3</v>
      </c>
      <c r="E92" s="356"/>
      <c r="F92" s="355"/>
      <c r="G92" s="357">
        <v>4</v>
      </c>
      <c r="H92" s="356"/>
      <c r="I92" s="358"/>
      <c r="J92" s="359">
        <v>50</v>
      </c>
      <c r="K92" s="359">
        <f>+J92*0.736</f>
        <v>36.799999999999997</v>
      </c>
    </row>
    <row r="93" spans="1:11" x14ac:dyDescent="0.3">
      <c r="A93" s="364"/>
      <c r="B93" s="355"/>
      <c r="C93" s="356"/>
      <c r="D93" s="356"/>
      <c r="E93" s="356"/>
      <c r="F93" s="355"/>
      <c r="G93" s="357"/>
      <c r="H93" s="356"/>
      <c r="I93" s="358"/>
      <c r="J93" s="359"/>
      <c r="K93" s="359"/>
    </row>
    <row r="94" spans="1:11" x14ac:dyDescent="0.3">
      <c r="A94" s="354" t="s">
        <v>796</v>
      </c>
      <c r="B94" s="355" t="s">
        <v>797</v>
      </c>
      <c r="C94" s="356">
        <v>0.8</v>
      </c>
      <c r="D94" s="356">
        <f>4*0.8</f>
        <v>3.2</v>
      </c>
      <c r="E94" s="356"/>
      <c r="F94" s="355"/>
      <c r="G94" s="357">
        <v>3</v>
      </c>
      <c r="H94" s="356"/>
      <c r="I94" s="358"/>
      <c r="J94" s="359">
        <v>50</v>
      </c>
      <c r="K94" s="359">
        <f>+J94*0.736</f>
        <v>36.799999999999997</v>
      </c>
    </row>
    <row r="95" spans="1:11" x14ac:dyDescent="0.3">
      <c r="A95" s="354" t="s">
        <v>781</v>
      </c>
      <c r="B95" s="355" t="s">
        <v>798</v>
      </c>
      <c r="C95" s="356">
        <v>0.8</v>
      </c>
      <c r="D95" s="356">
        <f>6*C95</f>
        <v>4.8000000000000007</v>
      </c>
      <c r="E95" s="356"/>
      <c r="F95" s="355"/>
      <c r="G95" s="357">
        <v>3</v>
      </c>
      <c r="H95" s="356"/>
      <c r="I95" s="358"/>
      <c r="J95" s="359">
        <v>60</v>
      </c>
      <c r="K95" s="359">
        <f>+J95*0.736</f>
        <v>44.16</v>
      </c>
    </row>
    <row r="96" spans="1:11" x14ac:dyDescent="0.3">
      <c r="A96" s="354" t="s">
        <v>799</v>
      </c>
      <c r="B96" s="355" t="s">
        <v>800</v>
      </c>
      <c r="C96" s="356">
        <v>0.8</v>
      </c>
      <c r="D96" s="356">
        <f>8*0.8</f>
        <v>6.4</v>
      </c>
      <c r="E96" s="356"/>
      <c r="F96" s="355"/>
      <c r="G96" s="357">
        <v>3</v>
      </c>
      <c r="H96" s="356"/>
      <c r="I96" s="358"/>
      <c r="J96" s="359">
        <v>70</v>
      </c>
      <c r="K96" s="359">
        <f>+J96*0.736</f>
        <v>51.519999999999996</v>
      </c>
    </row>
    <row r="97" spans="1:11" x14ac:dyDescent="0.3">
      <c r="A97" s="364"/>
      <c r="B97" s="355"/>
      <c r="C97" s="356"/>
      <c r="D97" s="356"/>
      <c r="E97" s="356"/>
      <c r="F97" s="355"/>
      <c r="G97" s="357"/>
      <c r="H97" s="356"/>
      <c r="I97" s="358"/>
      <c r="J97" s="359"/>
      <c r="K97" s="359"/>
    </row>
    <row r="98" spans="1:11" x14ac:dyDescent="0.3">
      <c r="A98" s="361" t="s">
        <v>801</v>
      </c>
      <c r="B98" s="355"/>
      <c r="C98" s="356"/>
      <c r="D98" s="356"/>
      <c r="E98" s="356"/>
      <c r="F98" s="355"/>
      <c r="G98" s="357"/>
      <c r="H98" s="356"/>
      <c r="I98" s="358"/>
      <c r="J98" s="359"/>
      <c r="K98" s="359"/>
    </row>
    <row r="99" spans="1:11" x14ac:dyDescent="0.3">
      <c r="A99" s="354" t="s">
        <v>802</v>
      </c>
      <c r="B99" s="355"/>
      <c r="C99" s="356"/>
      <c r="D99" s="356">
        <v>2.2999999999999998</v>
      </c>
      <c r="E99" s="356"/>
      <c r="F99" s="355"/>
      <c r="G99" s="357">
        <v>4</v>
      </c>
      <c r="H99" s="356"/>
      <c r="I99" s="358"/>
      <c r="J99" s="359">
        <v>35</v>
      </c>
      <c r="K99" s="359">
        <f>+J99*0.736</f>
        <v>25.759999999999998</v>
      </c>
    </row>
    <row r="100" spans="1:11" x14ac:dyDescent="0.3">
      <c r="A100" s="360"/>
      <c r="B100" s="355"/>
      <c r="C100" s="356"/>
      <c r="D100" s="356">
        <v>3.05</v>
      </c>
      <c r="E100" s="356"/>
      <c r="F100" s="355"/>
      <c r="G100" s="357">
        <v>4</v>
      </c>
      <c r="H100" s="356"/>
      <c r="I100" s="358"/>
      <c r="J100" s="359">
        <v>45</v>
      </c>
      <c r="K100" s="359">
        <f>+J100*0.736</f>
        <v>33.119999999999997</v>
      </c>
    </row>
    <row r="101" spans="1:11" x14ac:dyDescent="0.3">
      <c r="A101" s="360"/>
      <c r="B101" s="355"/>
      <c r="C101" s="356"/>
      <c r="D101" s="356"/>
      <c r="E101" s="356"/>
      <c r="F101" s="355"/>
      <c r="G101" s="357"/>
      <c r="H101" s="356"/>
      <c r="I101" s="358"/>
      <c r="J101" s="359"/>
      <c r="K101" s="359"/>
    </row>
    <row r="102" spans="1:11" x14ac:dyDescent="0.3">
      <c r="A102" s="361" t="s">
        <v>803</v>
      </c>
      <c r="B102" s="366"/>
      <c r="C102" s="367"/>
      <c r="D102" s="367"/>
      <c r="E102" s="367"/>
      <c r="F102" s="366"/>
      <c r="G102" s="368"/>
      <c r="H102" s="367"/>
      <c r="I102" s="359"/>
      <c r="J102" s="359"/>
      <c r="K102" s="359"/>
    </row>
    <row r="103" spans="1:11" x14ac:dyDescent="0.3">
      <c r="A103" s="354" t="s">
        <v>804</v>
      </c>
      <c r="B103" s="355">
        <v>2</v>
      </c>
      <c r="C103" s="356">
        <v>0.8</v>
      </c>
      <c r="D103" s="356">
        <f>+B103*C103</f>
        <v>1.6</v>
      </c>
      <c r="E103" s="356"/>
      <c r="F103" s="355"/>
      <c r="G103" s="357">
        <v>2</v>
      </c>
      <c r="H103" s="356"/>
      <c r="I103" s="358"/>
      <c r="J103" s="359">
        <v>15</v>
      </c>
      <c r="K103" s="359">
        <f>+J103*0.736</f>
        <v>11.04</v>
      </c>
    </row>
    <row r="104" spans="1:11" x14ac:dyDescent="0.3">
      <c r="A104" s="354" t="s">
        <v>779</v>
      </c>
      <c r="B104" s="355">
        <v>4</v>
      </c>
      <c r="C104" s="356">
        <v>0.8</v>
      </c>
      <c r="D104" s="356">
        <f>+B104*C104</f>
        <v>3.2</v>
      </c>
      <c r="E104" s="356"/>
      <c r="F104" s="355"/>
      <c r="G104" s="357">
        <v>2</v>
      </c>
      <c r="H104" s="356"/>
      <c r="I104" s="358"/>
      <c r="J104" s="359">
        <v>25</v>
      </c>
      <c r="K104" s="359">
        <f>+J104*0.736</f>
        <v>18.399999999999999</v>
      </c>
    </row>
    <row r="105" spans="1:11" x14ac:dyDescent="0.3">
      <c r="A105" s="354" t="s">
        <v>781</v>
      </c>
      <c r="B105" s="373">
        <v>6</v>
      </c>
      <c r="C105" s="356">
        <v>0.8</v>
      </c>
      <c r="D105" s="356">
        <f>+B105*C105</f>
        <v>4.8000000000000007</v>
      </c>
      <c r="E105" s="356"/>
      <c r="F105" s="355"/>
      <c r="G105" s="357">
        <v>2</v>
      </c>
      <c r="H105" s="356"/>
      <c r="I105" s="358"/>
      <c r="J105" s="359">
        <v>35</v>
      </c>
      <c r="K105" s="359">
        <f>+J105*0.736</f>
        <v>25.759999999999998</v>
      </c>
    </row>
    <row r="106" spans="1:11" x14ac:dyDescent="0.3">
      <c r="A106" s="360"/>
      <c r="B106" s="373"/>
      <c r="C106" s="356"/>
      <c r="D106" s="356"/>
      <c r="E106" s="356"/>
      <c r="F106" s="355"/>
      <c r="G106" s="357"/>
      <c r="H106" s="356"/>
      <c r="I106" s="358"/>
      <c r="J106" s="359"/>
      <c r="K106" s="359"/>
    </row>
    <row r="107" spans="1:11" x14ac:dyDescent="0.3">
      <c r="A107" s="361" t="s">
        <v>805</v>
      </c>
      <c r="B107" s="355"/>
      <c r="C107" s="356"/>
      <c r="D107" s="356"/>
      <c r="E107" s="356"/>
      <c r="F107" s="355"/>
      <c r="G107" s="357"/>
      <c r="H107" s="356"/>
      <c r="I107" s="358"/>
      <c r="J107" s="359"/>
      <c r="K107" s="359"/>
    </row>
    <row r="108" spans="1:11" x14ac:dyDescent="0.3">
      <c r="A108" s="354" t="s">
        <v>806</v>
      </c>
      <c r="B108" s="355"/>
      <c r="C108" s="356"/>
      <c r="D108" s="356"/>
      <c r="E108" s="356"/>
      <c r="F108" s="355"/>
      <c r="G108" s="357">
        <v>5</v>
      </c>
      <c r="H108" s="356"/>
      <c r="I108" s="358"/>
      <c r="J108" s="359">
        <v>20</v>
      </c>
      <c r="K108" s="359">
        <f>+J108*0.736</f>
        <v>14.719999999999999</v>
      </c>
    </row>
    <row r="109" spans="1:11" x14ac:dyDescent="0.3">
      <c r="A109" s="354" t="s">
        <v>785</v>
      </c>
      <c r="B109" s="355"/>
      <c r="C109" s="356"/>
      <c r="D109" s="356"/>
      <c r="E109" s="356"/>
      <c r="F109" s="355"/>
      <c r="G109" s="357">
        <v>5</v>
      </c>
      <c r="H109" s="356"/>
      <c r="I109" s="358"/>
      <c r="J109" s="359">
        <v>30</v>
      </c>
      <c r="K109" s="359">
        <f>+J109*0.736</f>
        <v>22.08</v>
      </c>
    </row>
    <row r="110" spans="1:11" x14ac:dyDescent="0.3">
      <c r="A110" s="354" t="s">
        <v>786</v>
      </c>
      <c r="B110" s="355"/>
      <c r="C110" s="356"/>
      <c r="D110" s="356"/>
      <c r="E110" s="356"/>
      <c r="F110" s="355"/>
      <c r="G110" s="357">
        <v>5</v>
      </c>
      <c r="H110" s="356"/>
      <c r="I110" s="358"/>
      <c r="J110" s="359">
        <v>40</v>
      </c>
      <c r="K110" s="359">
        <f>+J110*0.736</f>
        <v>29.439999999999998</v>
      </c>
    </row>
    <row r="111" spans="1:11" x14ac:dyDescent="0.3">
      <c r="A111" s="360"/>
      <c r="B111" s="355"/>
      <c r="C111" s="356"/>
      <c r="D111" s="356"/>
      <c r="E111" s="356"/>
      <c r="F111" s="355"/>
      <c r="G111" s="373"/>
      <c r="H111" s="356"/>
      <c r="I111" s="358"/>
      <c r="J111" s="359"/>
      <c r="K111" s="359"/>
    </row>
    <row r="112" spans="1:11" x14ac:dyDescent="0.3">
      <c r="A112" s="354" t="s">
        <v>807</v>
      </c>
      <c r="B112" s="355"/>
      <c r="C112" s="356"/>
      <c r="D112" s="356"/>
      <c r="E112" s="356"/>
      <c r="F112" s="355"/>
      <c r="G112" s="357">
        <v>5</v>
      </c>
      <c r="H112" s="356"/>
      <c r="I112" s="358"/>
      <c r="J112" s="359">
        <v>50</v>
      </c>
      <c r="K112" s="359">
        <f>+J112*0.736</f>
        <v>36.799999999999997</v>
      </c>
    </row>
    <row r="113" spans="1:11" x14ac:dyDescent="0.3">
      <c r="A113" s="354" t="s">
        <v>808</v>
      </c>
      <c r="B113" s="355"/>
      <c r="C113" s="356"/>
      <c r="D113" s="356"/>
      <c r="E113" s="356"/>
      <c r="F113" s="355"/>
      <c r="G113" s="357">
        <v>5</v>
      </c>
      <c r="H113" s="356"/>
      <c r="I113" s="358"/>
      <c r="J113" s="359">
        <v>55</v>
      </c>
      <c r="K113" s="359">
        <f>+J113*0.736</f>
        <v>40.479999999999997</v>
      </c>
    </row>
    <row r="114" spans="1:11" x14ac:dyDescent="0.3">
      <c r="A114" s="354" t="s">
        <v>789</v>
      </c>
      <c r="B114" s="355"/>
      <c r="C114" s="356"/>
      <c r="D114" s="356"/>
      <c r="E114" s="356"/>
      <c r="F114" s="355"/>
      <c r="G114" s="357">
        <v>5</v>
      </c>
      <c r="H114" s="356"/>
      <c r="I114" s="358"/>
      <c r="J114" s="359">
        <v>60</v>
      </c>
      <c r="K114" s="359">
        <f>+J114*0.736</f>
        <v>44.16</v>
      </c>
    </row>
    <row r="115" spans="1:11" x14ac:dyDescent="0.3">
      <c r="A115" s="360"/>
      <c r="B115" s="355"/>
      <c r="C115" s="356"/>
      <c r="D115" s="356"/>
      <c r="E115" s="356"/>
      <c r="F115" s="355"/>
      <c r="G115" s="373"/>
      <c r="H115" s="356"/>
      <c r="I115" s="358"/>
      <c r="J115" s="359"/>
      <c r="K115" s="359"/>
    </row>
    <row r="116" spans="1:11" x14ac:dyDescent="0.3">
      <c r="A116" s="361" t="s">
        <v>809</v>
      </c>
      <c r="B116" s="355"/>
      <c r="C116" s="356"/>
      <c r="D116" s="356"/>
      <c r="E116" s="356"/>
      <c r="F116" s="355"/>
      <c r="G116" s="357"/>
      <c r="H116" s="356"/>
      <c r="I116" s="358"/>
      <c r="J116" s="359"/>
      <c r="K116" s="359"/>
    </row>
    <row r="117" spans="1:11" x14ac:dyDescent="0.3">
      <c r="A117" s="354" t="s">
        <v>810</v>
      </c>
      <c r="B117" s="355"/>
      <c r="C117" s="356"/>
      <c r="D117" s="356">
        <v>1.5</v>
      </c>
      <c r="E117" s="356"/>
      <c r="F117" s="355"/>
      <c r="G117" s="357">
        <v>2</v>
      </c>
      <c r="H117" s="356"/>
      <c r="I117" s="358"/>
      <c r="J117" s="359">
        <v>15</v>
      </c>
      <c r="K117" s="359">
        <f t="shared" ref="K117:K129" si="8">+J117*0.736</f>
        <v>11.04</v>
      </c>
    </row>
    <row r="118" spans="1:11" x14ac:dyDescent="0.3">
      <c r="A118" s="360"/>
      <c r="B118" s="355"/>
      <c r="C118" s="356"/>
      <c r="D118" s="356">
        <v>1.8</v>
      </c>
      <c r="E118" s="356"/>
      <c r="F118" s="355"/>
      <c r="G118" s="357">
        <v>2</v>
      </c>
      <c r="H118" s="356"/>
      <c r="I118" s="358"/>
      <c r="J118" s="359">
        <v>20</v>
      </c>
      <c r="K118" s="359">
        <f t="shared" si="8"/>
        <v>14.719999999999999</v>
      </c>
    </row>
    <row r="119" spans="1:11" x14ac:dyDescent="0.3">
      <c r="A119" s="360"/>
      <c r="B119" s="355"/>
      <c r="C119" s="356"/>
      <c r="D119" s="373"/>
      <c r="E119" s="373"/>
      <c r="F119" s="373"/>
      <c r="G119" s="373"/>
      <c r="H119" s="373"/>
      <c r="I119" s="373"/>
      <c r="J119" s="374"/>
      <c r="K119" s="374"/>
    </row>
    <row r="120" spans="1:11" ht="21.6" x14ac:dyDescent="0.3">
      <c r="A120" s="354" t="s">
        <v>811</v>
      </c>
      <c r="B120" s="355"/>
      <c r="C120" s="356"/>
      <c r="D120" s="356">
        <v>2</v>
      </c>
      <c r="E120" s="356"/>
      <c r="F120" s="355"/>
      <c r="G120" s="357">
        <v>2</v>
      </c>
      <c r="H120" s="356"/>
      <c r="I120" s="358"/>
      <c r="J120" s="359">
        <v>30</v>
      </c>
      <c r="K120" s="359">
        <f t="shared" si="8"/>
        <v>22.08</v>
      </c>
    </row>
    <row r="121" spans="1:11" x14ac:dyDescent="0.3">
      <c r="A121" s="360"/>
      <c r="B121" s="355"/>
      <c r="C121" s="356"/>
      <c r="D121" s="356">
        <v>2.5</v>
      </c>
      <c r="E121" s="356"/>
      <c r="F121" s="355"/>
      <c r="G121" s="357">
        <v>2</v>
      </c>
      <c r="H121" s="356"/>
      <c r="I121" s="358"/>
      <c r="J121" s="359">
        <v>40</v>
      </c>
      <c r="K121" s="359">
        <f t="shared" si="8"/>
        <v>29.439999999999998</v>
      </c>
    </row>
    <row r="122" spans="1:11" x14ac:dyDescent="0.3">
      <c r="A122" s="360"/>
      <c r="B122" s="355"/>
      <c r="C122" s="356"/>
      <c r="D122" s="356">
        <v>3</v>
      </c>
      <c r="E122" s="356"/>
      <c r="F122" s="355"/>
      <c r="G122" s="357">
        <v>2</v>
      </c>
      <c r="H122" s="356"/>
      <c r="I122" s="358"/>
      <c r="J122" s="359">
        <v>50</v>
      </c>
      <c r="K122" s="359">
        <f t="shared" si="8"/>
        <v>36.799999999999997</v>
      </c>
    </row>
    <row r="123" spans="1:11" x14ac:dyDescent="0.3">
      <c r="A123" s="360"/>
      <c r="B123" s="355"/>
      <c r="C123" s="356"/>
      <c r="D123" s="373"/>
      <c r="E123" s="373"/>
      <c r="F123" s="373"/>
      <c r="G123" s="373"/>
      <c r="H123" s="373"/>
      <c r="I123" s="373"/>
      <c r="J123" s="374"/>
      <c r="K123" s="374"/>
    </row>
    <row r="124" spans="1:11" x14ac:dyDescent="0.3">
      <c r="A124" s="354" t="s">
        <v>812</v>
      </c>
      <c r="B124" s="355"/>
      <c r="C124" s="356"/>
      <c r="D124" s="356">
        <v>1.6</v>
      </c>
      <c r="E124" s="356"/>
      <c r="F124" s="355"/>
      <c r="G124" s="357">
        <v>2</v>
      </c>
      <c r="H124" s="356"/>
      <c r="I124" s="358"/>
      <c r="J124" s="359">
        <v>30</v>
      </c>
      <c r="K124" s="359">
        <f t="shared" si="8"/>
        <v>22.08</v>
      </c>
    </row>
    <row r="125" spans="1:11" x14ac:dyDescent="0.3">
      <c r="A125" s="354"/>
      <c r="B125" s="355"/>
      <c r="C125" s="356"/>
      <c r="D125" s="356">
        <v>2</v>
      </c>
      <c r="E125" s="356"/>
      <c r="F125" s="355"/>
      <c r="G125" s="357">
        <v>2</v>
      </c>
      <c r="H125" s="356"/>
      <c r="I125" s="358"/>
      <c r="J125" s="359">
        <v>40</v>
      </c>
      <c r="K125" s="359">
        <f t="shared" si="8"/>
        <v>29.439999999999998</v>
      </c>
    </row>
    <row r="126" spans="1:11" x14ac:dyDescent="0.3">
      <c r="A126" s="354"/>
      <c r="B126" s="355"/>
      <c r="C126" s="356"/>
      <c r="D126" s="356">
        <v>2.4</v>
      </c>
      <c r="E126" s="356"/>
      <c r="F126" s="355"/>
      <c r="G126" s="357">
        <v>2</v>
      </c>
      <c r="H126" s="356"/>
      <c r="I126" s="358"/>
      <c r="J126" s="359">
        <v>50</v>
      </c>
      <c r="K126" s="359">
        <f t="shared" si="8"/>
        <v>36.799999999999997</v>
      </c>
    </row>
    <row r="127" spans="1:11" x14ac:dyDescent="0.3">
      <c r="A127" s="354"/>
      <c r="B127" s="355"/>
      <c r="C127" s="356"/>
      <c r="D127" s="373"/>
      <c r="E127" s="373"/>
      <c r="F127" s="373"/>
      <c r="G127" s="373"/>
      <c r="H127" s="373"/>
      <c r="I127" s="373"/>
      <c r="J127" s="374"/>
      <c r="K127" s="374"/>
    </row>
    <row r="128" spans="1:11" ht="21.6" x14ac:dyDescent="0.3">
      <c r="A128" s="354" t="s">
        <v>813</v>
      </c>
      <c r="B128" s="355"/>
      <c r="C128" s="356"/>
      <c r="D128" s="356">
        <v>1.8</v>
      </c>
      <c r="E128" s="356"/>
      <c r="F128" s="355"/>
      <c r="G128" s="357">
        <v>2</v>
      </c>
      <c r="H128" s="356"/>
      <c r="I128" s="358"/>
      <c r="J128" s="359">
        <v>35</v>
      </c>
      <c r="K128" s="359">
        <f t="shared" si="8"/>
        <v>25.759999999999998</v>
      </c>
    </row>
    <row r="129" spans="1:11" x14ac:dyDescent="0.3">
      <c r="A129" s="354" t="s">
        <v>814</v>
      </c>
      <c r="B129" s="355"/>
      <c r="C129" s="356"/>
      <c r="D129" s="356">
        <v>3.6</v>
      </c>
      <c r="E129" s="356"/>
      <c r="F129" s="355"/>
      <c r="G129" s="357">
        <v>2</v>
      </c>
      <c r="H129" s="356"/>
      <c r="I129" s="358"/>
      <c r="J129" s="359">
        <v>70</v>
      </c>
      <c r="K129" s="359">
        <f t="shared" si="8"/>
        <v>51.519999999999996</v>
      </c>
    </row>
    <row r="130" spans="1:11" x14ac:dyDescent="0.3">
      <c r="A130" s="354"/>
      <c r="B130" s="355"/>
      <c r="C130" s="356"/>
      <c r="D130" s="373"/>
      <c r="E130" s="373"/>
      <c r="F130" s="373"/>
      <c r="G130" s="373"/>
      <c r="H130" s="373"/>
      <c r="I130" s="373"/>
      <c r="J130" s="374"/>
      <c r="K130" s="374"/>
    </row>
    <row r="131" spans="1:11" x14ac:dyDescent="0.3">
      <c r="A131" s="361" t="s">
        <v>815</v>
      </c>
      <c r="B131" s="355"/>
      <c r="C131" s="356"/>
      <c r="D131" s="356"/>
      <c r="E131" s="356"/>
      <c r="F131" s="355"/>
      <c r="G131" s="357"/>
      <c r="H131" s="356"/>
      <c r="I131" s="358"/>
      <c r="J131" s="359"/>
      <c r="K131" s="359"/>
    </row>
    <row r="132" spans="1:11" x14ac:dyDescent="0.3">
      <c r="A132" s="354" t="s">
        <v>816</v>
      </c>
      <c r="B132" s="366"/>
      <c r="C132" s="367"/>
      <c r="D132" s="356">
        <v>1.8</v>
      </c>
      <c r="E132" s="356"/>
      <c r="F132" s="355"/>
      <c r="G132" s="357">
        <v>3</v>
      </c>
      <c r="H132" s="356"/>
      <c r="I132" s="358"/>
      <c r="J132" s="359">
        <v>25</v>
      </c>
      <c r="K132" s="359">
        <f>+J132*0.736</f>
        <v>18.399999999999999</v>
      </c>
    </row>
    <row r="133" spans="1:11" x14ac:dyDescent="0.3">
      <c r="A133" s="360"/>
      <c r="B133" s="355"/>
      <c r="C133" s="356"/>
      <c r="D133" s="356">
        <v>2.2000000000000002</v>
      </c>
      <c r="E133" s="356"/>
      <c r="F133" s="355"/>
      <c r="G133" s="357">
        <v>3</v>
      </c>
      <c r="H133" s="356"/>
      <c r="I133" s="358"/>
      <c r="J133" s="359">
        <v>30</v>
      </c>
      <c r="K133" s="359">
        <f>+J133*0.736</f>
        <v>22.08</v>
      </c>
    </row>
    <row r="134" spans="1:11" x14ac:dyDescent="0.3">
      <c r="A134" s="360"/>
      <c r="B134" s="355"/>
      <c r="C134" s="356"/>
      <c r="D134" s="373"/>
      <c r="E134" s="373"/>
      <c r="F134" s="373"/>
      <c r="G134" s="373"/>
      <c r="H134" s="373"/>
      <c r="I134" s="373"/>
      <c r="J134" s="374"/>
      <c r="K134" s="374"/>
    </row>
    <row r="135" spans="1:11" x14ac:dyDescent="0.3">
      <c r="A135" s="354" t="s">
        <v>817</v>
      </c>
      <c r="B135" s="355"/>
      <c r="C135" s="356"/>
      <c r="D135" s="356">
        <v>3</v>
      </c>
      <c r="E135" s="356"/>
      <c r="F135" s="355"/>
      <c r="G135" s="357">
        <v>3</v>
      </c>
      <c r="H135" s="356"/>
      <c r="I135" s="358"/>
      <c r="J135" s="359">
        <v>45</v>
      </c>
      <c r="K135" s="359">
        <f>+J135*0.736</f>
        <v>33.119999999999997</v>
      </c>
    </row>
    <row r="136" spans="1:11" x14ac:dyDescent="0.3">
      <c r="A136" s="360"/>
      <c r="B136" s="355"/>
      <c r="C136" s="356"/>
      <c r="D136" s="373"/>
      <c r="E136" s="373"/>
      <c r="F136" s="373"/>
      <c r="G136" s="373"/>
      <c r="H136" s="373"/>
      <c r="I136" s="373"/>
      <c r="J136" s="374"/>
      <c r="K136" s="374"/>
    </row>
    <row r="137" spans="1:11" x14ac:dyDescent="0.3">
      <c r="A137" s="361" t="s">
        <v>818</v>
      </c>
      <c r="B137" s="355"/>
      <c r="C137" s="356"/>
      <c r="D137" s="356"/>
      <c r="E137" s="356"/>
      <c r="F137" s="355"/>
      <c r="G137" s="357"/>
      <c r="H137" s="356"/>
      <c r="I137" s="358"/>
      <c r="J137" s="359"/>
      <c r="K137" s="359"/>
    </row>
    <row r="138" spans="1:11" ht="21.6" x14ac:dyDescent="0.3">
      <c r="A138" s="354" t="s">
        <v>819</v>
      </c>
      <c r="B138" s="366"/>
      <c r="C138" s="367"/>
      <c r="D138" s="356">
        <v>1.3</v>
      </c>
      <c r="E138" s="356"/>
      <c r="F138" s="355"/>
      <c r="G138" s="357">
        <v>3</v>
      </c>
      <c r="H138" s="356"/>
      <c r="I138" s="358"/>
      <c r="J138" s="359">
        <v>40</v>
      </c>
      <c r="K138" s="359">
        <f t="shared" ref="K138:K145" si="9">+J138*0.736</f>
        <v>29.439999999999998</v>
      </c>
    </row>
    <row r="139" spans="1:11" x14ac:dyDescent="0.3">
      <c r="A139" s="354"/>
      <c r="B139" s="355"/>
      <c r="C139" s="356"/>
      <c r="D139" s="356">
        <v>1.5</v>
      </c>
      <c r="E139" s="356"/>
      <c r="F139" s="355"/>
      <c r="G139" s="357">
        <v>3</v>
      </c>
      <c r="H139" s="356"/>
      <c r="I139" s="358"/>
      <c r="J139" s="359">
        <v>45</v>
      </c>
      <c r="K139" s="359">
        <f t="shared" si="9"/>
        <v>33.119999999999997</v>
      </c>
    </row>
    <row r="140" spans="1:11" x14ac:dyDescent="0.3">
      <c r="A140" s="354"/>
      <c r="B140" s="355"/>
      <c r="C140" s="356"/>
      <c r="D140" s="356">
        <v>1.7</v>
      </c>
      <c r="E140" s="356"/>
      <c r="F140" s="355"/>
      <c r="G140" s="357">
        <v>3</v>
      </c>
      <c r="H140" s="356"/>
      <c r="I140" s="358"/>
      <c r="J140" s="359">
        <v>50</v>
      </c>
      <c r="K140" s="359">
        <f t="shared" si="9"/>
        <v>36.799999999999997</v>
      </c>
    </row>
    <row r="141" spans="1:11" x14ac:dyDescent="0.3">
      <c r="A141" s="354"/>
      <c r="B141" s="355"/>
      <c r="C141" s="356"/>
      <c r="D141" s="373"/>
      <c r="E141" s="373"/>
      <c r="F141" s="373"/>
      <c r="G141" s="373"/>
      <c r="H141" s="373"/>
      <c r="I141" s="373"/>
      <c r="J141" s="374"/>
      <c r="K141" s="374"/>
    </row>
    <row r="142" spans="1:11" x14ac:dyDescent="0.3">
      <c r="A142" s="354" t="s">
        <v>820</v>
      </c>
      <c r="B142" s="355"/>
      <c r="C142" s="356"/>
      <c r="D142" s="356">
        <v>1.3</v>
      </c>
      <c r="E142" s="356"/>
      <c r="F142" s="355"/>
      <c r="G142" s="357">
        <v>3</v>
      </c>
      <c r="H142" s="356"/>
      <c r="I142" s="358"/>
      <c r="J142" s="359">
        <v>50</v>
      </c>
      <c r="K142" s="359">
        <f t="shared" si="9"/>
        <v>36.799999999999997</v>
      </c>
    </row>
    <row r="143" spans="1:11" x14ac:dyDescent="0.3">
      <c r="A143" s="354"/>
      <c r="B143" s="355"/>
      <c r="C143" s="356"/>
      <c r="D143" s="356">
        <v>1.5</v>
      </c>
      <c r="E143" s="356"/>
      <c r="F143" s="355"/>
      <c r="G143" s="357">
        <v>3</v>
      </c>
      <c r="H143" s="356"/>
      <c r="I143" s="358"/>
      <c r="J143" s="359">
        <v>60</v>
      </c>
      <c r="K143" s="359">
        <f t="shared" si="9"/>
        <v>44.16</v>
      </c>
    </row>
    <row r="144" spans="1:11" x14ac:dyDescent="0.3">
      <c r="A144" s="354"/>
      <c r="B144" s="355"/>
      <c r="C144" s="356"/>
      <c r="D144" s="373"/>
      <c r="E144" s="373"/>
      <c r="F144" s="373"/>
      <c r="G144" s="373"/>
      <c r="H144" s="373"/>
      <c r="I144" s="373"/>
      <c r="J144" s="374"/>
      <c r="K144" s="374"/>
    </row>
    <row r="145" spans="1:11" x14ac:dyDescent="0.3">
      <c r="A145" s="354" t="s">
        <v>821</v>
      </c>
      <c r="B145" s="355"/>
      <c r="C145" s="356"/>
      <c r="D145" s="356">
        <v>1.5</v>
      </c>
      <c r="E145" s="356"/>
      <c r="F145" s="355"/>
      <c r="G145" s="357">
        <v>3</v>
      </c>
      <c r="H145" s="356"/>
      <c r="I145" s="358"/>
      <c r="J145" s="359">
        <v>60</v>
      </c>
      <c r="K145" s="359">
        <f t="shared" si="9"/>
        <v>44.16</v>
      </c>
    </row>
    <row r="146" spans="1:11" x14ac:dyDescent="0.3">
      <c r="A146" s="360"/>
      <c r="B146" s="355"/>
      <c r="C146" s="356"/>
      <c r="D146" s="373"/>
      <c r="E146" s="373"/>
      <c r="F146" s="373"/>
      <c r="G146" s="373"/>
      <c r="H146" s="373"/>
      <c r="I146" s="373"/>
      <c r="J146" s="374"/>
      <c r="K146" s="374"/>
    </row>
    <row r="147" spans="1:11" x14ac:dyDescent="0.3">
      <c r="A147" s="361" t="s">
        <v>822</v>
      </c>
      <c r="B147" s="355"/>
      <c r="C147" s="356"/>
      <c r="D147" s="356"/>
      <c r="E147" s="356"/>
      <c r="F147" s="355"/>
      <c r="G147" s="357"/>
      <c r="H147" s="356"/>
      <c r="I147" s="358"/>
      <c r="J147" s="359"/>
      <c r="K147" s="359"/>
    </row>
    <row r="148" spans="1:11" x14ac:dyDescent="0.3">
      <c r="A148" s="354" t="s">
        <v>823</v>
      </c>
      <c r="B148" s="355"/>
      <c r="C148" s="356"/>
      <c r="D148" s="356">
        <v>1.2</v>
      </c>
      <c r="E148" s="356"/>
      <c r="F148" s="355"/>
      <c r="G148" s="357">
        <v>2</v>
      </c>
      <c r="H148" s="356"/>
      <c r="I148" s="358"/>
      <c r="J148" s="359">
        <v>40</v>
      </c>
      <c r="K148" s="359">
        <f t="shared" ref="K148:K158" si="10">+J148*0.736</f>
        <v>29.439999999999998</v>
      </c>
    </row>
    <row r="149" spans="1:11" x14ac:dyDescent="0.3">
      <c r="A149" s="354"/>
      <c r="B149" s="355"/>
      <c r="C149" s="356"/>
      <c r="D149" s="356">
        <v>1.4</v>
      </c>
      <c r="E149" s="356"/>
      <c r="F149" s="355"/>
      <c r="G149" s="357">
        <v>2</v>
      </c>
      <c r="H149" s="356"/>
      <c r="I149" s="358"/>
      <c r="J149" s="359">
        <v>45</v>
      </c>
      <c r="K149" s="359">
        <f t="shared" si="10"/>
        <v>33.119999999999997</v>
      </c>
    </row>
    <row r="150" spans="1:11" x14ac:dyDescent="0.3">
      <c r="A150" s="354"/>
      <c r="B150" s="355"/>
      <c r="C150" s="356"/>
      <c r="D150" s="373"/>
      <c r="E150" s="373"/>
      <c r="F150" s="373"/>
      <c r="G150" s="373"/>
      <c r="H150" s="373"/>
      <c r="I150" s="373"/>
      <c r="J150" s="374"/>
      <c r="K150" s="374"/>
    </row>
    <row r="151" spans="1:11" x14ac:dyDescent="0.3">
      <c r="A151" s="354" t="s">
        <v>824</v>
      </c>
      <c r="B151" s="355"/>
      <c r="C151" s="356"/>
      <c r="D151" s="356">
        <v>1.6</v>
      </c>
      <c r="E151" s="356"/>
      <c r="F151" s="355"/>
      <c r="G151" s="357">
        <v>2</v>
      </c>
      <c r="H151" s="356"/>
      <c r="I151" s="358"/>
      <c r="J151" s="359">
        <v>50</v>
      </c>
      <c r="K151" s="359">
        <f t="shared" si="10"/>
        <v>36.799999999999997</v>
      </c>
    </row>
    <row r="152" spans="1:11" x14ac:dyDescent="0.3">
      <c r="A152" s="360"/>
      <c r="B152" s="355"/>
      <c r="C152" s="356"/>
      <c r="D152" s="356">
        <v>1.8</v>
      </c>
      <c r="E152" s="356"/>
      <c r="F152" s="355"/>
      <c r="G152" s="357">
        <v>2</v>
      </c>
      <c r="H152" s="356"/>
      <c r="I152" s="358"/>
      <c r="J152" s="359">
        <v>60</v>
      </c>
      <c r="K152" s="359">
        <f t="shared" si="10"/>
        <v>44.16</v>
      </c>
    </row>
    <row r="153" spans="1:11" x14ac:dyDescent="0.3">
      <c r="A153" s="360"/>
      <c r="B153" s="355"/>
      <c r="C153" s="356"/>
      <c r="D153" s="373"/>
      <c r="E153" s="373"/>
      <c r="F153" s="373"/>
      <c r="G153" s="373"/>
      <c r="H153" s="373"/>
      <c r="I153" s="373"/>
      <c r="J153" s="374"/>
      <c r="K153" s="374"/>
    </row>
    <row r="154" spans="1:11" x14ac:dyDescent="0.3">
      <c r="A154" s="354" t="s">
        <v>825</v>
      </c>
      <c r="B154" s="355">
        <v>1</v>
      </c>
      <c r="C154" s="356">
        <v>0.8</v>
      </c>
      <c r="D154" s="356">
        <f>+B154*C154</f>
        <v>0.8</v>
      </c>
      <c r="E154" s="356"/>
      <c r="F154" s="355"/>
      <c r="G154" s="357">
        <v>2</v>
      </c>
      <c r="H154" s="356"/>
      <c r="I154" s="358"/>
      <c r="J154" s="359">
        <v>40</v>
      </c>
      <c r="K154" s="359">
        <f t="shared" si="10"/>
        <v>29.439999999999998</v>
      </c>
    </row>
    <row r="155" spans="1:11" x14ac:dyDescent="0.3">
      <c r="A155" s="354" t="s">
        <v>793</v>
      </c>
      <c r="B155" s="355">
        <v>2</v>
      </c>
      <c r="C155" s="356">
        <v>0.8</v>
      </c>
      <c r="D155" s="356">
        <f>+B155*C155</f>
        <v>1.6</v>
      </c>
      <c r="E155" s="356"/>
      <c r="F155" s="355"/>
      <c r="G155" s="357">
        <v>2</v>
      </c>
      <c r="H155" s="356"/>
      <c r="I155" s="358"/>
      <c r="J155" s="359">
        <v>60</v>
      </c>
      <c r="K155" s="359">
        <f t="shared" si="10"/>
        <v>44.16</v>
      </c>
    </row>
    <row r="156" spans="1:11" x14ac:dyDescent="0.3">
      <c r="A156" s="354" t="s">
        <v>778</v>
      </c>
      <c r="B156" s="355">
        <v>3</v>
      </c>
      <c r="C156" s="356">
        <v>0.8</v>
      </c>
      <c r="D156" s="356">
        <f>+B156*C156</f>
        <v>2.4000000000000004</v>
      </c>
      <c r="E156" s="356"/>
      <c r="F156" s="355"/>
      <c r="G156" s="357">
        <v>2</v>
      </c>
      <c r="H156" s="356"/>
      <c r="I156" s="358"/>
      <c r="J156" s="359">
        <v>80</v>
      </c>
      <c r="K156" s="359">
        <f t="shared" si="10"/>
        <v>58.879999999999995</v>
      </c>
    </row>
    <row r="157" spans="1:11" x14ac:dyDescent="0.3">
      <c r="A157" s="360"/>
      <c r="B157" s="373"/>
      <c r="C157" s="373"/>
      <c r="D157" s="373"/>
      <c r="E157" s="373"/>
      <c r="F157" s="373"/>
      <c r="G157" s="373"/>
      <c r="H157" s="373"/>
      <c r="I157" s="373"/>
      <c r="J157" s="374"/>
      <c r="K157" s="374"/>
    </row>
    <row r="158" spans="1:11" x14ac:dyDescent="0.3">
      <c r="A158" s="354" t="s">
        <v>826</v>
      </c>
      <c r="B158" s="355"/>
      <c r="C158" s="356"/>
      <c r="D158" s="356"/>
      <c r="E158" s="356"/>
      <c r="F158" s="355"/>
      <c r="G158" s="357"/>
      <c r="H158" s="356"/>
      <c r="I158" s="358"/>
      <c r="J158" s="359">
        <v>45</v>
      </c>
      <c r="K158" s="359">
        <f t="shared" si="10"/>
        <v>33.119999999999997</v>
      </c>
    </row>
    <row r="159" spans="1:11" x14ac:dyDescent="0.3">
      <c r="A159" s="360"/>
      <c r="B159" s="355"/>
      <c r="C159" s="356"/>
      <c r="D159" s="356"/>
      <c r="E159" s="356"/>
      <c r="F159" s="355"/>
      <c r="G159" s="357"/>
      <c r="H159" s="356"/>
      <c r="I159" s="358"/>
      <c r="J159" s="374"/>
      <c r="K159" s="374"/>
    </row>
    <row r="160" spans="1:11" x14ac:dyDescent="0.3">
      <c r="A160" s="361" t="s">
        <v>827</v>
      </c>
      <c r="B160" s="355"/>
      <c r="C160" s="356"/>
      <c r="D160" s="356"/>
      <c r="E160" s="356"/>
      <c r="F160" s="355"/>
      <c r="G160" s="357"/>
      <c r="H160" s="356"/>
      <c r="I160" s="358"/>
      <c r="J160" s="359"/>
      <c r="K160" s="359"/>
    </row>
    <row r="161" spans="1:11" x14ac:dyDescent="0.3">
      <c r="A161" s="354" t="s">
        <v>828</v>
      </c>
      <c r="B161" s="355"/>
      <c r="C161" s="356"/>
      <c r="D161" s="356"/>
      <c r="E161" s="356"/>
      <c r="F161" s="355"/>
      <c r="G161" s="357">
        <v>2</v>
      </c>
      <c r="H161" s="356"/>
      <c r="I161" s="358"/>
      <c r="J161" s="359">
        <v>60</v>
      </c>
      <c r="K161" s="359">
        <f>+J161*0.736</f>
        <v>44.16</v>
      </c>
    </row>
    <row r="162" spans="1:11" x14ac:dyDescent="0.3">
      <c r="A162" s="354" t="s">
        <v>829</v>
      </c>
      <c r="B162" s="355"/>
      <c r="C162" s="356"/>
      <c r="D162" s="356"/>
      <c r="E162" s="356"/>
      <c r="F162" s="355"/>
      <c r="G162" s="357">
        <v>2</v>
      </c>
      <c r="H162" s="356"/>
      <c r="I162" s="358"/>
      <c r="J162" s="359">
        <v>80</v>
      </c>
      <c r="K162" s="359">
        <f>+J162*0.736</f>
        <v>58.879999999999995</v>
      </c>
    </row>
    <row r="163" spans="1:11" x14ac:dyDescent="0.3">
      <c r="A163" s="360"/>
      <c r="B163" s="355"/>
      <c r="C163" s="356"/>
      <c r="D163" s="356"/>
      <c r="E163" s="356"/>
      <c r="F163" s="355"/>
      <c r="G163" s="373"/>
      <c r="H163" s="356"/>
      <c r="I163" s="358"/>
      <c r="J163" s="359"/>
      <c r="K163" s="359"/>
    </row>
    <row r="164" spans="1:11" x14ac:dyDescent="0.3">
      <c r="A164" s="361" t="s">
        <v>830</v>
      </c>
      <c r="B164" s="355"/>
      <c r="C164" s="356"/>
      <c r="D164" s="356"/>
      <c r="E164" s="356"/>
      <c r="F164" s="355"/>
      <c r="G164" s="357"/>
      <c r="H164" s="356"/>
      <c r="I164" s="358"/>
      <c r="J164" s="359"/>
      <c r="K164" s="359"/>
    </row>
    <row r="165" spans="1:11" x14ac:dyDescent="0.3">
      <c r="A165" s="354" t="s">
        <v>831</v>
      </c>
      <c r="B165" s="355"/>
      <c r="C165" s="356"/>
      <c r="D165" s="356"/>
      <c r="E165" s="356"/>
      <c r="F165" s="355"/>
      <c r="G165" s="357">
        <v>2</v>
      </c>
      <c r="H165" s="356"/>
      <c r="I165" s="358"/>
      <c r="J165" s="359">
        <v>35</v>
      </c>
      <c r="K165" s="359">
        <f>+J165*0.736</f>
        <v>25.759999999999998</v>
      </c>
    </row>
    <row r="166" spans="1:11" x14ac:dyDescent="0.3">
      <c r="A166" s="360"/>
      <c r="B166" s="355"/>
      <c r="C166" s="356"/>
      <c r="D166" s="356"/>
      <c r="E166" s="356"/>
      <c r="F166" s="355"/>
      <c r="G166" s="357"/>
      <c r="H166" s="356"/>
      <c r="I166" s="358"/>
      <c r="J166" s="359"/>
      <c r="K166" s="359"/>
    </row>
    <row r="167" spans="1:11" x14ac:dyDescent="0.3">
      <c r="A167" s="361" t="s">
        <v>832</v>
      </c>
      <c r="B167" s="355"/>
      <c r="C167" s="356"/>
      <c r="D167" s="356"/>
      <c r="E167" s="356"/>
      <c r="F167" s="355"/>
      <c r="G167" s="357"/>
      <c r="H167" s="356"/>
      <c r="I167" s="358"/>
      <c r="J167" s="359"/>
      <c r="K167" s="359"/>
    </row>
    <row r="168" spans="1:11" x14ac:dyDescent="0.3">
      <c r="A168" s="354" t="s">
        <v>833</v>
      </c>
      <c r="B168" s="366"/>
      <c r="C168" s="367"/>
      <c r="D168" s="356">
        <v>1.2</v>
      </c>
      <c r="E168" s="373"/>
      <c r="F168" s="355"/>
      <c r="G168" s="357">
        <v>2</v>
      </c>
      <c r="H168" s="356"/>
      <c r="I168" s="358"/>
      <c r="J168" s="359">
        <v>30</v>
      </c>
      <c r="K168" s="359">
        <f>+J168*0.736</f>
        <v>22.08</v>
      </c>
    </row>
    <row r="169" spans="1:11" x14ac:dyDescent="0.3">
      <c r="A169" s="360"/>
      <c r="B169" s="355"/>
      <c r="C169" s="356"/>
      <c r="D169" s="356">
        <v>1.8</v>
      </c>
      <c r="E169" s="373"/>
      <c r="F169" s="355"/>
      <c r="G169" s="357">
        <v>2</v>
      </c>
      <c r="H169" s="356"/>
      <c r="I169" s="358"/>
      <c r="J169" s="359">
        <v>40</v>
      </c>
      <c r="K169" s="359">
        <f>+J169*0.736</f>
        <v>29.439999999999998</v>
      </c>
    </row>
    <row r="170" spans="1:11" x14ac:dyDescent="0.3">
      <c r="A170" s="360"/>
      <c r="B170" s="355"/>
      <c r="C170" s="356"/>
      <c r="D170" s="356">
        <v>2.4</v>
      </c>
      <c r="E170" s="373"/>
      <c r="F170" s="355"/>
      <c r="G170" s="357">
        <v>2</v>
      </c>
      <c r="H170" s="356"/>
      <c r="I170" s="358"/>
      <c r="J170" s="359">
        <v>50</v>
      </c>
      <c r="K170" s="359">
        <f>+J170*0.736</f>
        <v>36.799999999999997</v>
      </c>
    </row>
    <row r="171" spans="1:11" x14ac:dyDescent="0.3">
      <c r="A171" s="360"/>
      <c r="B171" s="355"/>
      <c r="C171" s="356"/>
      <c r="D171" s="373"/>
      <c r="E171" s="373"/>
      <c r="F171" s="373"/>
      <c r="G171" s="373"/>
      <c r="H171" s="373"/>
      <c r="I171" s="373"/>
      <c r="J171" s="374"/>
      <c r="K171" s="374"/>
    </row>
    <row r="172" spans="1:11" x14ac:dyDescent="0.3">
      <c r="A172" s="361" t="s">
        <v>834</v>
      </c>
      <c r="B172" s="355"/>
      <c r="C172" s="356"/>
      <c r="D172" s="356"/>
      <c r="E172" s="373"/>
      <c r="F172" s="355"/>
      <c r="G172" s="357"/>
      <c r="H172" s="356"/>
      <c r="I172" s="358"/>
      <c r="J172" s="359"/>
      <c r="K172" s="359"/>
    </row>
    <row r="173" spans="1:11" x14ac:dyDescent="0.3">
      <c r="A173" s="354" t="s">
        <v>835</v>
      </c>
      <c r="B173" s="366"/>
      <c r="C173" s="367"/>
      <c r="D173" s="356">
        <v>1.6</v>
      </c>
      <c r="E173" s="373"/>
      <c r="F173" s="355"/>
      <c r="G173" s="357">
        <v>2</v>
      </c>
      <c r="H173" s="356"/>
      <c r="I173" s="358"/>
      <c r="J173" s="359">
        <v>45</v>
      </c>
      <c r="K173" s="359">
        <f>+J173*0.736</f>
        <v>33.119999999999997</v>
      </c>
    </row>
    <row r="174" spans="1:11" x14ac:dyDescent="0.3">
      <c r="A174" s="360"/>
      <c r="B174" s="355"/>
      <c r="C174" s="356"/>
      <c r="D174" s="356">
        <v>1.8</v>
      </c>
      <c r="E174" s="373"/>
      <c r="F174" s="355"/>
      <c r="G174" s="357">
        <v>2</v>
      </c>
      <c r="H174" s="356"/>
      <c r="I174" s="358"/>
      <c r="J174" s="359">
        <v>50</v>
      </c>
      <c r="K174" s="359">
        <f>+J174*0.736</f>
        <v>36.799999999999997</v>
      </c>
    </row>
    <row r="175" spans="1:11" x14ac:dyDescent="0.3">
      <c r="A175" s="360"/>
      <c r="B175" s="355"/>
      <c r="C175" s="356"/>
      <c r="D175" s="356">
        <v>2</v>
      </c>
      <c r="E175" s="373"/>
      <c r="F175" s="355"/>
      <c r="G175" s="357">
        <v>2</v>
      </c>
      <c r="H175" s="356"/>
      <c r="I175" s="358"/>
      <c r="J175" s="359">
        <v>60</v>
      </c>
      <c r="K175" s="359">
        <f>+J175*0.736</f>
        <v>44.16</v>
      </c>
    </row>
    <row r="176" spans="1:11" x14ac:dyDescent="0.3">
      <c r="A176" s="361" t="s">
        <v>571</v>
      </c>
      <c r="B176" s="355"/>
      <c r="C176" s="356"/>
      <c r="D176" s="373"/>
      <c r="E176" s="373"/>
      <c r="F176" s="373"/>
      <c r="G176" s="373"/>
      <c r="H176" s="373"/>
      <c r="I176" s="373"/>
      <c r="J176" s="374"/>
      <c r="K176" s="374"/>
    </row>
    <row r="177" spans="1:11" x14ac:dyDescent="0.3">
      <c r="A177" s="354" t="s">
        <v>836</v>
      </c>
      <c r="B177" s="355"/>
      <c r="C177" s="356"/>
      <c r="D177" s="356"/>
      <c r="E177" s="356"/>
      <c r="F177" s="355"/>
      <c r="G177" s="357"/>
      <c r="H177" s="356"/>
      <c r="I177" s="358"/>
      <c r="J177" s="359">
        <v>45</v>
      </c>
      <c r="K177" s="359">
        <f>+J177*0.736</f>
        <v>33.119999999999997</v>
      </c>
    </row>
    <row r="178" spans="1:11" x14ac:dyDescent="0.3">
      <c r="A178" s="354" t="s">
        <v>837</v>
      </c>
      <c r="B178" s="355"/>
      <c r="C178" s="356"/>
      <c r="D178" s="356"/>
      <c r="E178" s="356"/>
      <c r="F178" s="355"/>
      <c r="G178" s="357"/>
      <c r="H178" s="356"/>
      <c r="I178" s="358"/>
      <c r="J178" s="359">
        <v>53</v>
      </c>
      <c r="K178" s="359">
        <f t="shared" ref="K178:K185" si="11">+J178*0.736</f>
        <v>39.008000000000003</v>
      </c>
    </row>
    <row r="179" spans="1:11" x14ac:dyDescent="0.3">
      <c r="A179" s="354" t="s">
        <v>838</v>
      </c>
      <c r="B179" s="355"/>
      <c r="C179" s="356"/>
      <c r="D179" s="356"/>
      <c r="E179" s="356"/>
      <c r="F179" s="355"/>
      <c r="G179" s="357"/>
      <c r="H179" s="356"/>
      <c r="I179" s="358"/>
      <c r="J179" s="359">
        <v>60</v>
      </c>
      <c r="K179" s="359">
        <f t="shared" si="11"/>
        <v>44.16</v>
      </c>
    </row>
    <row r="180" spans="1:11" x14ac:dyDescent="0.3">
      <c r="A180" s="375" t="s">
        <v>839</v>
      </c>
      <c r="B180" s="376"/>
      <c r="C180" s="377"/>
      <c r="D180" s="377"/>
      <c r="E180" s="377"/>
      <c r="F180" s="376"/>
      <c r="G180" s="378"/>
      <c r="H180" s="377"/>
      <c r="I180" s="379"/>
      <c r="J180" s="380">
        <v>70</v>
      </c>
      <c r="K180" s="359">
        <f t="shared" si="11"/>
        <v>51.519999999999996</v>
      </c>
    </row>
    <row r="181" spans="1:11" x14ac:dyDescent="0.3">
      <c r="A181" s="381" t="s">
        <v>840</v>
      </c>
      <c r="B181" s="373"/>
      <c r="C181" s="363"/>
      <c r="D181" s="363"/>
      <c r="E181" s="363"/>
      <c r="F181" s="373"/>
      <c r="G181" s="382"/>
      <c r="H181" s="363"/>
      <c r="I181" s="383"/>
      <c r="J181" s="384">
        <v>80</v>
      </c>
      <c r="K181" s="359">
        <f t="shared" si="11"/>
        <v>58.879999999999995</v>
      </c>
    </row>
    <row r="182" spans="1:11" x14ac:dyDescent="0.3">
      <c r="A182" s="362" t="s">
        <v>841</v>
      </c>
      <c r="B182" s="373"/>
      <c r="C182" s="363"/>
      <c r="D182" s="363"/>
      <c r="E182" s="363"/>
      <c r="F182" s="373"/>
      <c r="G182" s="382"/>
      <c r="H182" s="363"/>
      <c r="I182" s="383"/>
      <c r="J182" s="384">
        <v>90</v>
      </c>
      <c r="K182" s="359">
        <f t="shared" si="11"/>
        <v>66.239999999999995</v>
      </c>
    </row>
    <row r="183" spans="1:11" x14ac:dyDescent="0.3">
      <c r="A183" s="362" t="s">
        <v>842</v>
      </c>
      <c r="B183" s="373"/>
      <c r="C183" s="363"/>
      <c r="D183" s="363"/>
      <c r="E183" s="363"/>
      <c r="F183" s="373"/>
      <c r="G183" s="382"/>
      <c r="H183" s="363"/>
      <c r="I183" s="383"/>
      <c r="J183" s="384">
        <v>105</v>
      </c>
      <c r="K183" s="359">
        <f t="shared" si="11"/>
        <v>77.28</v>
      </c>
    </row>
    <row r="184" spans="1:11" x14ac:dyDescent="0.3">
      <c r="A184" s="362" t="s">
        <v>843</v>
      </c>
      <c r="B184" s="373"/>
      <c r="C184" s="363"/>
      <c r="D184" s="363"/>
      <c r="E184" s="363"/>
      <c r="F184" s="373"/>
      <c r="G184" s="382"/>
      <c r="H184" s="363"/>
      <c r="I184" s="383"/>
      <c r="J184" s="384">
        <v>120</v>
      </c>
      <c r="K184" s="359">
        <f t="shared" si="11"/>
        <v>88.32</v>
      </c>
    </row>
    <row r="185" spans="1:11" x14ac:dyDescent="0.3">
      <c r="A185" s="362" t="s">
        <v>844</v>
      </c>
      <c r="B185" s="373"/>
      <c r="C185" s="363"/>
      <c r="D185" s="363"/>
      <c r="E185" s="363"/>
      <c r="F185" s="373"/>
      <c r="G185" s="382"/>
      <c r="H185" s="363"/>
      <c r="I185" s="383"/>
      <c r="J185" s="384">
        <v>140</v>
      </c>
      <c r="K185" s="359">
        <f t="shared" si="11"/>
        <v>103.03999999999999</v>
      </c>
    </row>
    <row r="188" spans="1:11" x14ac:dyDescent="0.3">
      <c r="J188" s="393">
        <v>53</v>
      </c>
      <c r="K188" s="359">
        <f>+J188*0.736</f>
        <v>39.008000000000003</v>
      </c>
    </row>
    <row r="189" spans="1:11" x14ac:dyDescent="0.3">
      <c r="A189" s="361" t="s">
        <v>881</v>
      </c>
      <c r="J189" s="393">
        <v>45</v>
      </c>
      <c r="K189" s="359">
        <f>+J189*0.736</f>
        <v>33.119999999999997</v>
      </c>
    </row>
    <row r="190" spans="1:11" x14ac:dyDescent="0.3">
      <c r="A190" s="361" t="s">
        <v>35</v>
      </c>
    </row>
  </sheetData>
  <mergeCells count="3">
    <mergeCell ref="A2:A3"/>
    <mergeCell ref="B2:E2"/>
    <mergeCell ref="J2:K2"/>
  </mergeCells>
  <hyperlinks>
    <hyperlink ref="A1" location="Indice!A1" display="Í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/>
  </sheetViews>
  <sheetFormatPr defaultRowHeight="13.8" x14ac:dyDescent="0.3"/>
  <cols>
    <col min="1" max="1" width="50.5546875" customWidth="1"/>
    <col min="2" max="2" width="43.44140625" bestFit="1" customWidth="1"/>
  </cols>
  <sheetData>
    <row r="1" spans="1:2" ht="20.100000000000001" customHeight="1" x14ac:dyDescent="0.3">
      <c r="A1" s="399" t="s">
        <v>917</v>
      </c>
      <c r="B1" s="64"/>
    </row>
    <row r="2" spans="1:2" ht="20.100000000000001" customHeight="1" x14ac:dyDescent="0.3">
      <c r="A2" s="385"/>
      <c r="B2" s="333" t="s">
        <v>845</v>
      </c>
    </row>
    <row r="3" spans="1:2" ht="20.100000000000001" customHeight="1" thickBot="1" x14ac:dyDescent="0.35">
      <c r="A3" s="386" t="s">
        <v>846</v>
      </c>
      <c r="B3" s="204" t="s">
        <v>847</v>
      </c>
    </row>
    <row r="4" spans="1:2" ht="20.100000000000001" customHeight="1" x14ac:dyDescent="0.3">
      <c r="A4" s="387" t="s">
        <v>848</v>
      </c>
      <c r="B4" s="388" t="s">
        <v>849</v>
      </c>
    </row>
    <row r="5" spans="1:2" ht="20.100000000000001" customHeight="1" x14ac:dyDescent="0.3">
      <c r="A5" s="387" t="s">
        <v>850</v>
      </c>
      <c r="B5" s="389" t="s">
        <v>851</v>
      </c>
    </row>
    <row r="6" spans="1:2" ht="20.100000000000001" customHeight="1" x14ac:dyDescent="0.3">
      <c r="A6" s="387" t="s">
        <v>852</v>
      </c>
      <c r="B6" s="389" t="s">
        <v>853</v>
      </c>
    </row>
    <row r="7" spans="1:2" ht="20.100000000000001" customHeight="1" thickBot="1" x14ac:dyDescent="0.35">
      <c r="A7" s="390" t="s">
        <v>854</v>
      </c>
      <c r="B7" s="391" t="s">
        <v>853</v>
      </c>
    </row>
    <row r="8" spans="1:2" ht="20.100000000000001" customHeight="1" x14ac:dyDescent="0.3">
      <c r="A8" s="387" t="s">
        <v>855</v>
      </c>
      <c r="B8" s="389" t="s">
        <v>849</v>
      </c>
    </row>
    <row r="9" spans="1:2" ht="20.100000000000001" customHeight="1" x14ac:dyDescent="0.3">
      <c r="A9" s="387" t="s">
        <v>856</v>
      </c>
      <c r="B9" s="389" t="s">
        <v>849</v>
      </c>
    </row>
    <row r="10" spans="1:2" ht="20.100000000000001" customHeight="1" thickBot="1" x14ac:dyDescent="0.35">
      <c r="A10" s="390" t="s">
        <v>857</v>
      </c>
      <c r="B10" s="391" t="s">
        <v>851</v>
      </c>
    </row>
    <row r="11" spans="1:2" ht="20.100000000000001" customHeight="1" x14ac:dyDescent="0.3">
      <c r="A11" s="387" t="s">
        <v>858</v>
      </c>
      <c r="B11" s="389" t="s">
        <v>851</v>
      </c>
    </row>
    <row r="12" spans="1:2" ht="20.100000000000001" customHeight="1" x14ac:dyDescent="0.3">
      <c r="A12" s="387" t="s">
        <v>859</v>
      </c>
      <c r="B12" s="389" t="s">
        <v>860</v>
      </c>
    </row>
    <row r="13" spans="1:2" ht="20.100000000000001" customHeight="1" thickBot="1" x14ac:dyDescent="0.35">
      <c r="A13" s="390" t="s">
        <v>861</v>
      </c>
      <c r="B13" s="391" t="s">
        <v>862</v>
      </c>
    </row>
    <row r="14" spans="1:2" ht="20.100000000000001" customHeight="1" x14ac:dyDescent="0.3">
      <c r="A14" s="387" t="s">
        <v>809</v>
      </c>
      <c r="B14" s="389" t="s">
        <v>862</v>
      </c>
    </row>
    <row r="15" spans="1:2" ht="20.100000000000001" customHeight="1" x14ac:dyDescent="0.3">
      <c r="A15" s="387" t="s">
        <v>863</v>
      </c>
      <c r="B15" s="389" t="s">
        <v>864</v>
      </c>
    </row>
    <row r="16" spans="1:2" ht="20.100000000000001" customHeight="1" x14ac:dyDescent="0.3">
      <c r="A16" s="387" t="s">
        <v>865</v>
      </c>
      <c r="B16" s="389" t="s">
        <v>864</v>
      </c>
    </row>
    <row r="17" spans="1:2" ht="20.100000000000001" customHeight="1" x14ac:dyDescent="0.3">
      <c r="A17" s="387" t="s">
        <v>866</v>
      </c>
      <c r="B17" s="389" t="s">
        <v>867</v>
      </c>
    </row>
    <row r="18" spans="1:2" ht="20.100000000000001" customHeight="1" thickBot="1" x14ac:dyDescent="0.35">
      <c r="A18" s="387" t="s">
        <v>868</v>
      </c>
      <c r="B18" s="389" t="s">
        <v>862</v>
      </c>
    </row>
    <row r="19" spans="1:2" ht="20.100000000000001" customHeight="1" x14ac:dyDescent="0.3">
      <c r="A19" s="392" t="s">
        <v>869</v>
      </c>
      <c r="B19" s="388" t="s">
        <v>864</v>
      </c>
    </row>
    <row r="20" spans="1:2" ht="20.100000000000001" customHeight="1" thickBot="1" x14ac:dyDescent="0.35">
      <c r="A20" s="390" t="s">
        <v>870</v>
      </c>
      <c r="B20" s="391" t="s">
        <v>871</v>
      </c>
    </row>
    <row r="21" spans="1:2" ht="20.100000000000001" customHeight="1" x14ac:dyDescent="0.3">
      <c r="A21" s="387" t="s">
        <v>872</v>
      </c>
      <c r="B21" s="389" t="s">
        <v>860</v>
      </c>
    </row>
    <row r="22" spans="1:2" ht="20.100000000000001" customHeight="1" x14ac:dyDescent="0.3">
      <c r="A22" s="387" t="s">
        <v>873</v>
      </c>
      <c r="B22" s="389" t="s">
        <v>860</v>
      </c>
    </row>
    <row r="23" spans="1:2" ht="20.100000000000001" customHeight="1" thickBot="1" x14ac:dyDescent="0.35">
      <c r="A23" s="390" t="s">
        <v>874</v>
      </c>
      <c r="B23" s="391" t="s">
        <v>875</v>
      </c>
    </row>
    <row r="24" spans="1:2" ht="20.100000000000001" customHeight="1" thickBot="1" x14ac:dyDescent="0.35">
      <c r="A24" s="390" t="s">
        <v>876</v>
      </c>
      <c r="B24" s="391" t="s">
        <v>853</v>
      </c>
    </row>
    <row r="25" spans="1:2" ht="20.100000000000001" customHeight="1" x14ac:dyDescent="0.3">
      <c r="A25" s="495" t="s">
        <v>877</v>
      </c>
      <c r="B25" s="496"/>
    </row>
  </sheetData>
  <mergeCells count="1">
    <mergeCell ref="A25:B25"/>
  </mergeCells>
  <hyperlinks>
    <hyperlink ref="A1" location="I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RowHeight="11.4" x14ac:dyDescent="0.2"/>
  <cols>
    <col min="1" max="1" width="22.33203125" style="144" customWidth="1"/>
    <col min="2" max="2" width="13.33203125" style="145" customWidth="1"/>
    <col min="3" max="3" width="10.88671875" style="132" customWidth="1"/>
    <col min="4" max="4" width="9.33203125" style="132" customWidth="1"/>
    <col min="5" max="5" width="10.88671875" style="132" customWidth="1"/>
    <col min="6" max="6" width="6.109375" style="132" customWidth="1"/>
    <col min="7" max="7" width="12.88671875" style="130" customWidth="1"/>
    <col min="8" max="8" width="10.6640625" style="130" customWidth="1"/>
    <col min="9" max="9" width="10.44140625" style="130" customWidth="1"/>
    <col min="10" max="10" width="10.6640625" style="131" customWidth="1"/>
    <col min="11" max="12" width="8.6640625" style="132" customWidth="1"/>
    <col min="13" max="13" width="8.44140625" style="132" customWidth="1"/>
    <col min="14" max="14" width="8.5546875" style="132" customWidth="1"/>
    <col min="15" max="16384" width="8.88671875" style="132"/>
  </cols>
  <sheetData>
    <row r="1" spans="1:15" ht="20.100000000000001" customHeight="1" x14ac:dyDescent="0.2">
      <c r="A1" s="184" t="s">
        <v>623</v>
      </c>
      <c r="B1" s="419" t="s">
        <v>680</v>
      </c>
      <c r="C1" s="420"/>
      <c r="D1" s="420"/>
      <c r="E1" s="421"/>
      <c r="F1" s="422"/>
      <c r="G1" s="423" t="s">
        <v>730</v>
      </c>
      <c r="H1" s="424"/>
      <c r="I1" s="424"/>
      <c r="J1" s="424"/>
      <c r="K1" s="422"/>
      <c r="L1" s="422"/>
      <c r="M1" s="422"/>
      <c r="N1" s="422"/>
      <c r="O1" s="422"/>
    </row>
    <row r="2" spans="1:15" ht="20.100000000000001" customHeight="1" x14ac:dyDescent="0.2">
      <c r="A2" s="133" t="s">
        <v>624</v>
      </c>
      <c r="B2" s="134">
        <v>6</v>
      </c>
      <c r="C2" s="135"/>
      <c r="D2" s="136"/>
      <c r="E2" s="136"/>
      <c r="F2" s="136"/>
      <c r="G2" s="134">
        <v>6</v>
      </c>
      <c r="J2" s="130"/>
      <c r="K2" s="136"/>
      <c r="L2" s="136"/>
      <c r="M2" s="136"/>
      <c r="N2" s="136"/>
      <c r="O2" s="399" t="s">
        <v>917</v>
      </c>
    </row>
    <row r="3" spans="1:15" ht="20.100000000000001" customHeight="1" x14ac:dyDescent="0.2">
      <c r="A3" s="133" t="s">
        <v>625</v>
      </c>
      <c r="B3" s="134">
        <v>3</v>
      </c>
      <c r="C3" s="135"/>
      <c r="D3" s="136"/>
      <c r="E3" s="136"/>
      <c r="F3" s="136"/>
      <c r="G3" s="134">
        <v>3</v>
      </c>
      <c r="J3" s="130"/>
      <c r="K3" s="136"/>
      <c r="L3" s="136"/>
      <c r="M3" s="136"/>
      <c r="N3" s="136"/>
      <c r="O3" s="136"/>
    </row>
    <row r="4" spans="1:15" ht="20.100000000000001" customHeight="1" x14ac:dyDescent="0.2">
      <c r="A4" s="133" t="s">
        <v>54</v>
      </c>
      <c r="B4" s="134">
        <f>+B2+B3</f>
        <v>9</v>
      </c>
      <c r="C4" s="135"/>
      <c r="D4" s="136"/>
      <c r="E4" s="136"/>
      <c r="F4" s="136"/>
      <c r="G4" s="134">
        <f>+G2+G3</f>
        <v>9</v>
      </c>
      <c r="J4" s="130"/>
      <c r="K4" s="136"/>
      <c r="L4" s="136"/>
      <c r="M4" s="136"/>
      <c r="N4" s="136"/>
      <c r="O4" s="136"/>
    </row>
    <row r="5" spans="1:15" ht="20.100000000000001" customHeight="1" x14ac:dyDescent="0.2">
      <c r="A5" s="133" t="s">
        <v>568</v>
      </c>
      <c r="B5" s="190">
        <v>2</v>
      </c>
      <c r="C5" s="135"/>
      <c r="D5" s="136"/>
      <c r="E5" s="136"/>
      <c r="F5" s="136"/>
      <c r="G5" s="134">
        <v>2</v>
      </c>
      <c r="J5" s="130"/>
      <c r="K5" s="136"/>
      <c r="L5" s="136"/>
      <c r="M5" s="136"/>
      <c r="N5" s="136"/>
      <c r="O5" s="136"/>
    </row>
    <row r="6" spans="1:15" ht="20.100000000000001" customHeight="1" x14ac:dyDescent="0.2">
      <c r="A6" s="133" t="s">
        <v>42</v>
      </c>
      <c r="B6" s="191">
        <v>7500</v>
      </c>
      <c r="C6" s="135"/>
      <c r="D6" s="136"/>
      <c r="E6" s="136"/>
      <c r="F6" s="136"/>
      <c r="G6" s="205">
        <v>7500</v>
      </c>
      <c r="J6" s="130"/>
      <c r="K6" s="136"/>
      <c r="L6" s="136"/>
      <c r="M6" s="136"/>
      <c r="N6" s="136"/>
      <c r="O6" s="136"/>
    </row>
    <row r="7" spans="1:15" ht="20.100000000000001" customHeight="1" x14ac:dyDescent="0.2">
      <c r="A7" s="133" t="s">
        <v>41</v>
      </c>
      <c r="B7" s="190">
        <v>10</v>
      </c>
      <c r="C7" s="135"/>
      <c r="D7" s="136"/>
      <c r="E7" s="136"/>
      <c r="F7" s="136"/>
      <c r="G7" s="134">
        <v>10</v>
      </c>
      <c r="J7" s="130"/>
      <c r="K7" s="136"/>
      <c r="L7" s="136"/>
      <c r="M7" s="136"/>
      <c r="N7" s="136"/>
      <c r="O7" s="136"/>
    </row>
    <row r="8" spans="1:15" ht="20.100000000000001" customHeight="1" x14ac:dyDescent="0.2">
      <c r="A8" s="133" t="s">
        <v>37</v>
      </c>
      <c r="B8" s="214">
        <v>1.5</v>
      </c>
      <c r="C8" s="135"/>
      <c r="D8" s="136"/>
      <c r="E8" s="136"/>
      <c r="F8" s="136"/>
      <c r="G8" s="137">
        <v>2</v>
      </c>
      <c r="J8" s="130"/>
      <c r="K8" s="136"/>
      <c r="L8" s="136"/>
      <c r="M8" s="136"/>
      <c r="N8" s="136"/>
      <c r="O8" s="136"/>
    </row>
    <row r="9" spans="1:15" ht="20.100000000000001" customHeight="1" x14ac:dyDescent="0.2">
      <c r="A9" s="133" t="s">
        <v>594</v>
      </c>
      <c r="B9" s="257">
        <v>100</v>
      </c>
      <c r="C9" s="135"/>
      <c r="D9" s="136"/>
      <c r="E9" s="136"/>
      <c r="F9" s="136"/>
      <c r="G9" s="205">
        <v>100</v>
      </c>
      <c r="J9" s="130"/>
      <c r="K9" s="136"/>
      <c r="L9" s="136"/>
      <c r="M9" s="136"/>
      <c r="N9" s="136"/>
      <c r="O9" s="136"/>
    </row>
    <row r="10" spans="1:15" ht="20.100000000000001" customHeight="1" x14ac:dyDescent="0.2">
      <c r="A10" s="133" t="s">
        <v>639</v>
      </c>
      <c r="B10" s="191">
        <f>+B6/B9</f>
        <v>75</v>
      </c>
      <c r="C10" s="135"/>
      <c r="D10" s="136"/>
      <c r="E10" s="136"/>
      <c r="F10" s="136"/>
      <c r="G10" s="205">
        <f>+G6/G9</f>
        <v>75</v>
      </c>
      <c r="H10" s="187"/>
      <c r="I10" s="187"/>
      <c r="J10" s="187"/>
      <c r="K10" s="136"/>
      <c r="L10" s="136"/>
      <c r="M10" s="136"/>
      <c r="N10" s="136"/>
      <c r="O10" s="136"/>
    </row>
    <row r="11" spans="1:15" ht="20.100000000000001" customHeight="1" x14ac:dyDescent="0.2">
      <c r="A11" s="133" t="s">
        <v>640</v>
      </c>
      <c r="B11" s="191" t="s">
        <v>637</v>
      </c>
      <c r="C11" s="135"/>
      <c r="D11" s="136"/>
      <c r="E11" s="136"/>
      <c r="F11" s="136"/>
      <c r="G11" s="205">
        <v>125</v>
      </c>
      <c r="H11" s="187"/>
      <c r="I11" s="187"/>
      <c r="J11" s="187"/>
      <c r="K11" s="136"/>
      <c r="L11" s="136"/>
      <c r="M11" s="136"/>
      <c r="N11" s="136"/>
      <c r="O11" s="136"/>
    </row>
    <row r="12" spans="1:15" ht="20.100000000000001" customHeight="1" x14ac:dyDescent="0.2">
      <c r="A12" s="133" t="s">
        <v>641</v>
      </c>
      <c r="B12" s="191" t="s">
        <v>638</v>
      </c>
      <c r="C12" s="135"/>
      <c r="D12" s="136"/>
      <c r="E12" s="136"/>
      <c r="F12" s="136"/>
      <c r="G12" s="205">
        <v>100</v>
      </c>
      <c r="H12" s="211"/>
      <c r="I12" s="211"/>
      <c r="J12" s="211"/>
      <c r="K12" s="136"/>
      <c r="L12" s="136"/>
      <c r="M12" s="136"/>
      <c r="N12" s="136"/>
      <c r="O12" s="136"/>
    </row>
    <row r="13" spans="1:15" ht="20.100000000000001" customHeight="1" x14ac:dyDescent="0.2">
      <c r="A13" s="133" t="s">
        <v>40</v>
      </c>
      <c r="B13" s="191"/>
      <c r="C13" s="135"/>
      <c r="D13" s="136"/>
      <c r="E13" s="136"/>
      <c r="F13" s="136"/>
      <c r="G13" s="205" t="s">
        <v>40</v>
      </c>
      <c r="H13" s="211"/>
      <c r="I13" s="211"/>
      <c r="J13" s="211"/>
      <c r="K13" s="136"/>
      <c r="L13" s="136"/>
      <c r="M13" s="136"/>
      <c r="N13" s="136"/>
      <c r="O13" s="136"/>
    </row>
    <row r="14" spans="1:15" ht="20.100000000000001" customHeight="1" x14ac:dyDescent="0.2">
      <c r="A14" s="133" t="s">
        <v>596</v>
      </c>
      <c r="B14" s="191">
        <v>8</v>
      </c>
      <c r="C14" s="135"/>
      <c r="D14" s="136"/>
      <c r="E14" s="136"/>
      <c r="F14" s="136"/>
      <c r="G14" s="205">
        <v>10</v>
      </c>
      <c r="H14" s="187"/>
      <c r="I14" s="187"/>
      <c r="J14" s="187"/>
      <c r="K14" s="136"/>
      <c r="L14" s="136"/>
      <c r="M14" s="136"/>
      <c r="N14" s="136"/>
      <c r="O14" s="136"/>
    </row>
    <row r="15" spans="1:15" ht="20.100000000000001" customHeight="1" x14ac:dyDescent="0.2">
      <c r="A15" s="133" t="s">
        <v>682</v>
      </c>
      <c r="B15" s="191">
        <v>22</v>
      </c>
      <c r="C15" s="135"/>
      <c r="D15" s="136"/>
      <c r="E15" s="136"/>
      <c r="F15" s="136"/>
      <c r="G15" s="205">
        <v>22</v>
      </c>
      <c r="H15" s="273"/>
      <c r="I15" s="273"/>
      <c r="J15" s="273"/>
      <c r="K15" s="136"/>
      <c r="L15" s="136"/>
      <c r="M15" s="136"/>
      <c r="N15" s="136"/>
      <c r="O15" s="136"/>
    </row>
    <row r="16" spans="1:15" ht="20.100000000000001" customHeight="1" x14ac:dyDescent="0.2">
      <c r="A16" s="133" t="s">
        <v>40</v>
      </c>
      <c r="B16" s="193"/>
      <c r="C16" s="135"/>
      <c r="D16" s="136"/>
      <c r="E16" s="136"/>
      <c r="F16" s="136"/>
      <c r="G16" s="134"/>
      <c r="H16" s="207"/>
      <c r="I16" s="207"/>
      <c r="J16" s="207"/>
      <c r="K16" s="136"/>
      <c r="L16" s="136"/>
      <c r="M16" s="136"/>
      <c r="N16" s="136"/>
      <c r="O16" s="136"/>
    </row>
    <row r="17" spans="1:15" ht="5.0999999999999996" customHeight="1" x14ac:dyDescent="0.25">
      <c r="A17" s="138"/>
      <c r="B17" s="139"/>
      <c r="C17" s="140"/>
      <c r="D17" s="140"/>
      <c r="E17" s="140"/>
      <c r="F17" s="140"/>
      <c r="G17" s="417"/>
      <c r="H17" s="418"/>
      <c r="I17" s="418"/>
    </row>
    <row r="18" spans="1:15" ht="24.9" customHeight="1" x14ac:dyDescent="0.25">
      <c r="A18" s="141" t="s">
        <v>511</v>
      </c>
      <c r="B18" s="142" t="s">
        <v>512</v>
      </c>
      <c r="C18" s="83" t="s">
        <v>547</v>
      </c>
      <c r="D18" s="84" t="s">
        <v>548</v>
      </c>
      <c r="E18" s="84" t="s">
        <v>549</v>
      </c>
      <c r="F18" s="139"/>
      <c r="G18" s="119" t="s">
        <v>517</v>
      </c>
      <c r="H18" s="88" t="s">
        <v>669</v>
      </c>
      <c r="I18" s="88" t="s">
        <v>670</v>
      </c>
      <c r="J18" s="288" t="s">
        <v>514</v>
      </c>
      <c r="K18" s="88" t="s">
        <v>534</v>
      </c>
      <c r="L18" s="88" t="s">
        <v>668</v>
      </c>
      <c r="M18" s="410" t="s">
        <v>683</v>
      </c>
    </row>
    <row r="19" spans="1:15" ht="24.9" customHeight="1" x14ac:dyDescent="0.25">
      <c r="A19" s="16" t="s">
        <v>515</v>
      </c>
      <c r="B19" s="85">
        <f>+IHERA_Trat!E9</f>
        <v>24096</v>
      </c>
      <c r="C19" s="86">
        <f>+IHERA_Trat!M9</f>
        <v>5.6635</v>
      </c>
      <c r="D19" s="87">
        <f>+IHERA_Trat!T9</f>
        <v>15.182773333333333</v>
      </c>
      <c r="E19" s="87">
        <f>+C19+D19</f>
        <v>20.846273333333333</v>
      </c>
      <c r="F19" s="139"/>
      <c r="G19" s="126">
        <f>+IHERA_Trat!F9</f>
        <v>24100</v>
      </c>
      <c r="H19" s="123">
        <f>+Cto_Trat!K10</f>
        <v>7.0377492877492873</v>
      </c>
      <c r="I19" s="123">
        <f>+Cto_Trat!H44</f>
        <v>15.182773333333333</v>
      </c>
      <c r="J19" s="284">
        <f>+H19+I19</f>
        <v>22.220522621082623</v>
      </c>
      <c r="K19" s="126">
        <f>+Cto_Eq!B60</f>
        <v>175.5</v>
      </c>
      <c r="L19" s="126">
        <f>+Cto_Eq!D60</f>
        <v>351</v>
      </c>
      <c r="M19" s="291">
        <f>+J19*L19</f>
        <v>7799.403440000001</v>
      </c>
    </row>
    <row r="20" spans="1:15" ht="24.9" customHeight="1" x14ac:dyDescent="0.25">
      <c r="A20" s="16" t="s">
        <v>516</v>
      </c>
      <c r="B20" s="85">
        <f>+IHERA_Trat!E8</f>
        <v>20804</v>
      </c>
      <c r="C20" s="86">
        <f>+IHERA_Trat!M8</f>
        <v>4.9115000000000002</v>
      </c>
      <c r="D20" s="87">
        <f>+IHERA_Trat!T8</f>
        <v>14.498933333333333</v>
      </c>
      <c r="E20" s="87">
        <f>+C20+D20</f>
        <v>19.410433333333334</v>
      </c>
      <c r="F20" s="139"/>
      <c r="G20" s="126">
        <f>+IHERA_Trat!F8</f>
        <v>20900</v>
      </c>
      <c r="H20" s="123">
        <f>+Cto_Trat!K17</f>
        <v>5.100595238095238</v>
      </c>
      <c r="I20" s="123">
        <f>+Cto_Trat!H51</f>
        <v>14.4656</v>
      </c>
      <c r="J20" s="284">
        <f>+H20+I20</f>
        <v>19.56619523809524</v>
      </c>
      <c r="K20" s="126">
        <f>+Cto_Eq!B61</f>
        <v>210</v>
      </c>
      <c r="L20" s="126">
        <f>+Cto_Eq!D61</f>
        <v>420</v>
      </c>
      <c r="M20" s="291">
        <f>+J20*L20</f>
        <v>8217.8020000000015</v>
      </c>
    </row>
    <row r="21" spans="1:15" ht="20.100000000000001" customHeight="1" x14ac:dyDescent="0.25">
      <c r="A21" s="16" t="s">
        <v>40</v>
      </c>
      <c r="B21" s="85"/>
      <c r="C21" s="86"/>
      <c r="D21" s="87"/>
      <c r="E21" s="87"/>
      <c r="F21" s="139"/>
      <c r="G21" s="126"/>
      <c r="H21" s="123"/>
      <c r="I21" s="123"/>
      <c r="J21" s="123"/>
      <c r="K21" s="126"/>
      <c r="L21" s="126"/>
    </row>
    <row r="22" spans="1:15" ht="20.100000000000001" customHeight="1" x14ac:dyDescent="0.25">
      <c r="A22" s="138"/>
      <c r="B22" s="139"/>
      <c r="C22" s="140"/>
      <c r="D22" s="140"/>
      <c r="E22" s="140"/>
      <c r="F22" s="140"/>
      <c r="G22" s="417"/>
      <c r="H22" s="418"/>
      <c r="I22" s="418"/>
      <c r="J22" s="272" t="s">
        <v>578</v>
      </c>
      <c r="K22" s="250">
        <f>SUM(K19:K21)</f>
        <v>385.5</v>
      </c>
      <c r="L22" s="250">
        <f>SUM(L19:L21)</f>
        <v>771</v>
      </c>
    </row>
    <row r="23" spans="1:15" ht="24.9" customHeight="1" x14ac:dyDescent="0.25">
      <c r="A23" s="141" t="s">
        <v>627</v>
      </c>
      <c r="B23" s="90" t="s">
        <v>518</v>
      </c>
      <c r="C23" s="91" t="s">
        <v>519</v>
      </c>
      <c r="D23" s="91" t="s">
        <v>571</v>
      </c>
      <c r="E23" s="139"/>
      <c r="F23" s="139"/>
      <c r="G23" s="120" t="s">
        <v>518</v>
      </c>
      <c r="H23" s="121" t="s">
        <v>519</v>
      </c>
      <c r="I23" s="121" t="s">
        <v>40</v>
      </c>
      <c r="J23" s="213" t="s">
        <v>628</v>
      </c>
      <c r="K23" s="82" t="s">
        <v>40</v>
      </c>
      <c r="L23" s="206" t="s">
        <v>40</v>
      </c>
      <c r="M23" s="121" t="s">
        <v>571</v>
      </c>
      <c r="N23" s="206" t="s">
        <v>40</v>
      </c>
      <c r="O23" s="206" t="s">
        <v>40</v>
      </c>
    </row>
    <row r="24" spans="1:15" ht="20.100000000000001" customHeight="1" x14ac:dyDescent="0.25">
      <c r="A24" s="16" t="s">
        <v>520</v>
      </c>
      <c r="B24" s="93">
        <v>53</v>
      </c>
      <c r="C24" s="93">
        <v>45</v>
      </c>
      <c r="D24" s="277"/>
      <c r="E24" s="277"/>
      <c r="F24" s="277"/>
      <c r="G24" s="126">
        <v>53</v>
      </c>
      <c r="H24" s="126">
        <v>45</v>
      </c>
      <c r="I24" s="126"/>
      <c r="J24" s="278"/>
      <c r="K24" s="250"/>
      <c r="L24" s="279"/>
      <c r="M24" s="280"/>
    </row>
    <row r="25" spans="1:15" ht="20.100000000000001" customHeight="1" x14ac:dyDescent="0.25">
      <c r="A25" s="16" t="s">
        <v>521</v>
      </c>
      <c r="B25" s="93">
        <f>+IHERA_Trat!G9</f>
        <v>10</v>
      </c>
      <c r="C25" s="93">
        <f>+IHERA_Trat!G8</f>
        <v>10</v>
      </c>
      <c r="D25" s="93">
        <f>+IHERA_Equip!G176</f>
        <v>10</v>
      </c>
      <c r="E25" s="277"/>
      <c r="F25" s="277"/>
      <c r="G25" s="126">
        <v>12</v>
      </c>
      <c r="H25" s="126">
        <v>12</v>
      </c>
      <c r="I25" s="126"/>
      <c r="J25" s="278"/>
      <c r="K25" s="250"/>
      <c r="L25" s="279"/>
      <c r="M25" s="126">
        <f>+IHERA_Equip!H176</f>
        <v>10</v>
      </c>
    </row>
    <row r="26" spans="1:15" ht="20.100000000000001" customHeight="1" x14ac:dyDescent="0.25">
      <c r="A26" s="16" t="s">
        <v>66</v>
      </c>
      <c r="B26" s="93">
        <f>+IHERA_Trat!I9</f>
        <v>500</v>
      </c>
      <c r="C26" s="93">
        <f>+IHERA_Trat!I8</f>
        <v>500</v>
      </c>
      <c r="D26" s="277"/>
      <c r="E26" s="277"/>
      <c r="F26" s="277"/>
      <c r="G26" s="126">
        <f>+L19</f>
        <v>351</v>
      </c>
      <c r="H26" s="126">
        <f>+L20</f>
        <v>420</v>
      </c>
      <c r="I26" s="126"/>
      <c r="J26" s="278"/>
      <c r="K26" s="250"/>
      <c r="L26" s="279"/>
      <c r="M26" s="280"/>
    </row>
    <row r="27" spans="1:15" ht="24.9" customHeight="1" x14ac:dyDescent="0.25">
      <c r="A27" s="16" t="s">
        <v>522</v>
      </c>
      <c r="B27" s="281">
        <f>+IHERA_Trat!K3</f>
        <v>5</v>
      </c>
      <c r="C27" s="281">
        <f>+IHERA_Trat!K3</f>
        <v>5</v>
      </c>
      <c r="D27" s="281">
        <f>+IHERA_Equip!J1</f>
        <v>5</v>
      </c>
      <c r="E27" s="282"/>
      <c r="F27" s="282"/>
      <c r="G27" s="261">
        <f>+IHERA_Trat!K2</f>
        <v>3</v>
      </c>
      <c r="H27" s="261">
        <f>+IHERA_Trat!K2</f>
        <v>3</v>
      </c>
      <c r="I27" s="261"/>
      <c r="K27" s="272"/>
      <c r="L27" s="283"/>
      <c r="M27" s="261">
        <f>+IHERA_Equip!L1</f>
        <v>3</v>
      </c>
    </row>
    <row r="28" spans="1:15" ht="24.9" customHeight="1" x14ac:dyDescent="0.25">
      <c r="A28" s="16" t="s">
        <v>523</v>
      </c>
      <c r="B28" s="87">
        <f>+IHERA_Trat!L2</f>
        <v>2</v>
      </c>
      <c r="C28" s="87">
        <f>+IHERA_Trat!L2</f>
        <v>2</v>
      </c>
      <c r="D28" s="282"/>
      <c r="E28" s="282"/>
      <c r="F28" s="282"/>
      <c r="G28" s="123">
        <v>2</v>
      </c>
      <c r="H28" s="123">
        <v>2</v>
      </c>
      <c r="I28" s="123"/>
      <c r="K28" s="272"/>
      <c r="L28" s="283"/>
      <c r="M28" s="261"/>
    </row>
    <row r="29" spans="1:15" ht="20.100000000000001" customHeight="1" x14ac:dyDescent="0.25">
      <c r="A29" s="16" t="s">
        <v>524</v>
      </c>
      <c r="B29" s="92">
        <f>+IHERA_Trat!M2</f>
        <v>0.1</v>
      </c>
      <c r="C29" s="92">
        <f>+IHERA_Trat!M2</f>
        <v>0.1</v>
      </c>
      <c r="D29" s="139"/>
      <c r="E29" s="139"/>
      <c r="F29" s="139"/>
      <c r="G29" s="125">
        <v>0.1</v>
      </c>
      <c r="H29" s="125">
        <v>0.1</v>
      </c>
      <c r="I29" s="125"/>
      <c r="K29" s="82"/>
      <c r="M29" s="124"/>
    </row>
    <row r="30" spans="1:15" ht="20.100000000000001" customHeight="1" x14ac:dyDescent="0.25">
      <c r="A30" s="16" t="s">
        <v>525</v>
      </c>
      <c r="B30" s="86">
        <f>+IHERA_Trat!N2</f>
        <v>0.36</v>
      </c>
      <c r="C30" s="86">
        <f>+[1]IHERA_Trat!M2</f>
        <v>0.36</v>
      </c>
      <c r="D30" s="139"/>
      <c r="E30" s="139"/>
      <c r="F30" s="139"/>
      <c r="G30" s="122">
        <v>0.36</v>
      </c>
      <c r="H30" s="122">
        <v>0.36</v>
      </c>
      <c r="I30" s="122"/>
      <c r="K30" s="82"/>
      <c r="M30" s="124"/>
    </row>
    <row r="31" spans="1:15" ht="20.100000000000001" customHeight="1" x14ac:dyDescent="0.25">
      <c r="A31" s="16" t="s">
        <v>526</v>
      </c>
      <c r="B31" s="92">
        <f>+IHERA_Trat!O2</f>
        <v>2E-3</v>
      </c>
      <c r="C31" s="92">
        <f>+IHERA_Trat!O2</f>
        <v>2E-3</v>
      </c>
      <c r="D31" s="139"/>
      <c r="E31" s="139"/>
      <c r="F31" s="139"/>
      <c r="G31" s="125">
        <v>2E-3</v>
      </c>
      <c r="H31" s="125">
        <v>2E-3</v>
      </c>
      <c r="I31" s="125"/>
      <c r="K31" s="82"/>
      <c r="M31" s="124"/>
    </row>
    <row r="32" spans="1:15" ht="20.100000000000001" customHeight="1" x14ac:dyDescent="0.25">
      <c r="A32" s="16" t="s">
        <v>527</v>
      </c>
      <c r="B32" s="86">
        <f>+IHERA_Trat!P2</f>
        <v>2.74</v>
      </c>
      <c r="C32" s="86">
        <f>+IHERA_Trat!P2</f>
        <v>2.74</v>
      </c>
      <c r="D32" s="139"/>
      <c r="E32" s="139"/>
      <c r="F32" s="139"/>
      <c r="G32" s="122">
        <v>2.74</v>
      </c>
      <c r="H32" s="122">
        <v>2.74</v>
      </c>
      <c r="I32" s="122"/>
      <c r="K32" s="82"/>
      <c r="M32" s="124"/>
    </row>
    <row r="33" spans="1:16" ht="20.100000000000001" customHeight="1" x14ac:dyDescent="0.25">
      <c r="A33" s="16" t="s">
        <v>528</v>
      </c>
      <c r="B33" s="93">
        <v>1000</v>
      </c>
      <c r="C33" s="93">
        <v>900</v>
      </c>
      <c r="D33" s="202" t="s">
        <v>614</v>
      </c>
      <c r="E33" s="139"/>
      <c r="F33" s="139"/>
      <c r="G33" s="126">
        <v>1000</v>
      </c>
      <c r="H33" s="126">
        <v>900</v>
      </c>
      <c r="I33" s="126"/>
      <c r="K33" s="82"/>
      <c r="M33" s="126">
        <v>100</v>
      </c>
    </row>
    <row r="34" spans="1:16" ht="20.100000000000001" customHeight="1" x14ac:dyDescent="0.25">
      <c r="A34" s="16" t="s">
        <v>529</v>
      </c>
      <c r="B34" s="93">
        <v>3000</v>
      </c>
      <c r="C34" s="93">
        <v>3000</v>
      </c>
      <c r="D34" s="202">
        <v>1000</v>
      </c>
      <c r="E34" s="139"/>
      <c r="F34" s="139"/>
      <c r="G34" s="126">
        <v>3000</v>
      </c>
      <c r="H34" s="126">
        <v>3000</v>
      </c>
      <c r="I34" s="126"/>
      <c r="K34" s="82"/>
      <c r="M34" s="126">
        <v>1000</v>
      </c>
    </row>
    <row r="35" spans="1:16" ht="20.100000000000001" customHeight="1" x14ac:dyDescent="0.25">
      <c r="A35" s="16" t="s">
        <v>530</v>
      </c>
      <c r="B35" s="92">
        <f>+IHERA_Trat!S2</f>
        <v>0.01</v>
      </c>
      <c r="C35" s="92">
        <f>+IHERA_Trat!S2</f>
        <v>0.01</v>
      </c>
      <c r="D35" s="92">
        <f>+IHERA_Equip!J176</f>
        <v>0.03</v>
      </c>
      <c r="E35" s="139"/>
      <c r="F35" s="139"/>
      <c r="G35" s="125">
        <v>0.01</v>
      </c>
      <c r="H35" s="125">
        <v>0.01</v>
      </c>
      <c r="I35" s="125"/>
      <c r="K35" s="82"/>
      <c r="M35" s="125">
        <v>0.03</v>
      </c>
    </row>
    <row r="36" spans="1:16" ht="24.9" customHeight="1" x14ac:dyDescent="0.25">
      <c r="A36" s="16" t="s">
        <v>531</v>
      </c>
      <c r="B36" s="93">
        <f>+IHERA_Trat!T2</f>
        <v>10</v>
      </c>
      <c r="C36" s="93">
        <f>+IHERA_Trat!T2</f>
        <v>10</v>
      </c>
      <c r="D36" s="277"/>
      <c r="E36" s="277"/>
      <c r="F36" s="277"/>
      <c r="G36" s="126">
        <v>10</v>
      </c>
      <c r="H36" s="126">
        <f>+G36</f>
        <v>10</v>
      </c>
      <c r="I36" s="122"/>
      <c r="K36" s="82"/>
      <c r="M36" s="143"/>
    </row>
    <row r="37" spans="1:16" ht="20.100000000000001" customHeight="1" x14ac:dyDescent="0.2">
      <c r="A37" s="16" t="s">
        <v>532</v>
      </c>
      <c r="B37" s="93">
        <f>+IHERA_Trat!U2</f>
        <v>10</v>
      </c>
      <c r="C37" s="93">
        <f>+IHERA_Trat!U2</f>
        <v>10</v>
      </c>
      <c r="D37" s="279"/>
      <c r="E37" s="279"/>
      <c r="F37" s="279"/>
      <c r="G37" s="126">
        <v>10</v>
      </c>
      <c r="H37" s="126">
        <f>+G37</f>
        <v>10</v>
      </c>
      <c r="I37" s="122"/>
      <c r="K37" s="131"/>
      <c r="M37" s="61"/>
    </row>
    <row r="38" spans="1:16" ht="20.100000000000001" customHeight="1" x14ac:dyDescent="0.2">
      <c r="A38" s="16" t="s">
        <v>40</v>
      </c>
      <c r="B38" s="86"/>
      <c r="C38" s="86"/>
      <c r="G38" s="122"/>
      <c r="H38" s="122"/>
      <c r="I38" s="61"/>
    </row>
    <row r="39" spans="1:16" ht="5.0999999999999996" customHeight="1" x14ac:dyDescent="0.25">
      <c r="A39" s="138"/>
      <c r="B39" s="139"/>
      <c r="C39" s="140"/>
      <c r="D39" s="140"/>
      <c r="E39" s="140"/>
      <c r="F39" s="140"/>
      <c r="G39" s="417"/>
      <c r="H39" s="418"/>
      <c r="I39" s="418"/>
    </row>
    <row r="40" spans="1:16" ht="24.9" customHeight="1" x14ac:dyDescent="0.25">
      <c r="A40" s="141" t="s">
        <v>38</v>
      </c>
      <c r="B40" s="142" t="s">
        <v>512</v>
      </c>
      <c r="C40" s="84" t="s">
        <v>533</v>
      </c>
      <c r="D40" s="84" t="s">
        <v>513</v>
      </c>
      <c r="E40" s="84" t="s">
        <v>514</v>
      </c>
      <c r="F40" s="84" t="s">
        <v>534</v>
      </c>
      <c r="G40" s="119" t="s">
        <v>517</v>
      </c>
      <c r="H40" s="101" t="s">
        <v>533</v>
      </c>
      <c r="I40" s="101" t="s">
        <v>513</v>
      </c>
      <c r="J40" s="288" t="s">
        <v>514</v>
      </c>
      <c r="K40" s="88" t="s">
        <v>131</v>
      </c>
      <c r="L40" s="88" t="s">
        <v>538</v>
      </c>
      <c r="M40" s="102" t="s">
        <v>539</v>
      </c>
      <c r="N40" s="102" t="s">
        <v>534</v>
      </c>
      <c r="O40" s="286" t="s">
        <v>683</v>
      </c>
      <c r="P40" s="88"/>
    </row>
    <row r="41" spans="1:16" ht="24.9" customHeight="1" x14ac:dyDescent="0.2">
      <c r="A41" s="16" t="s">
        <v>553</v>
      </c>
      <c r="B41" s="85">
        <f>+IHERA_Equip!E240</f>
        <v>5000</v>
      </c>
      <c r="C41" s="86">
        <f>+IHERA_Equip!K240+IHERA_Equip!L240</f>
        <v>6.5</v>
      </c>
      <c r="D41" s="94">
        <f>+IHERA_Equip!M240</f>
        <v>2</v>
      </c>
      <c r="E41" s="94">
        <f>+C41+D41</f>
        <v>8.5</v>
      </c>
      <c r="F41" s="95">
        <f>+IHERA_Equip!I240</f>
        <v>100</v>
      </c>
      <c r="G41" s="146">
        <f>+IHERA_Equip!F240</f>
        <v>5000</v>
      </c>
      <c r="H41" s="130">
        <f>+Cto_Eq!J19</f>
        <v>34.666666666666671</v>
      </c>
      <c r="I41" s="130">
        <f>+Cto_Eq!J46</f>
        <v>2</v>
      </c>
      <c r="J41" s="289">
        <f t="shared" ref="J41:J50" si="0">+H41+I41</f>
        <v>36.666666666666671</v>
      </c>
      <c r="K41" s="130">
        <f>+Cto_Eq!J4</f>
        <v>2.0833333333333335</v>
      </c>
      <c r="L41" s="130">
        <f>+Cto_Eq!K4</f>
        <v>18.75</v>
      </c>
      <c r="M41" s="130">
        <f>+Cto_Eq!L4</f>
        <v>1</v>
      </c>
      <c r="N41" s="130">
        <f>+Cto_Eq!M4</f>
        <v>18.75</v>
      </c>
      <c r="O41" s="285">
        <f>+J41*N41</f>
        <v>687.50000000000011</v>
      </c>
      <c r="P41" s="130"/>
    </row>
    <row r="42" spans="1:16" ht="24.9" customHeight="1" x14ac:dyDescent="0.2">
      <c r="A42" s="16" t="s">
        <v>574</v>
      </c>
      <c r="B42" s="85">
        <f>+IHERA_Equip!E243</f>
        <v>2500</v>
      </c>
      <c r="C42" s="86">
        <f>+IHERA_Equip!K243+IHERA_Equip!L243</f>
        <v>3.25</v>
      </c>
      <c r="D42" s="94">
        <f>+IHERA_Equip!M243</f>
        <v>1</v>
      </c>
      <c r="E42" s="94">
        <f>+C42+D42</f>
        <v>4.25</v>
      </c>
      <c r="F42" s="95">
        <f>+IHERA_Equip!I243</f>
        <v>100</v>
      </c>
      <c r="G42" s="146">
        <f>+IHERA_Equip!F243</f>
        <v>2500</v>
      </c>
      <c r="H42" s="130">
        <f>+Cto_Eq!J20</f>
        <v>17.333333333333336</v>
      </c>
      <c r="I42" s="130">
        <f>+Cto_Eq!J47</f>
        <v>1</v>
      </c>
      <c r="J42" s="289">
        <f t="shared" si="0"/>
        <v>18.333333333333336</v>
      </c>
      <c r="K42" s="130">
        <f>+Cto_Eq!J5</f>
        <v>2.0833333333333335</v>
      </c>
      <c r="L42" s="130">
        <f>+Cto_Eq!K5</f>
        <v>18.75</v>
      </c>
      <c r="M42" s="130">
        <f>+Cto_Eq!L5</f>
        <v>1</v>
      </c>
      <c r="N42" s="130">
        <f>+Cto_Eq!M5</f>
        <v>18.75</v>
      </c>
      <c r="O42" s="285">
        <f t="shared" ref="O42:O50" si="1">+J42*N42</f>
        <v>343.75000000000006</v>
      </c>
      <c r="P42" s="130"/>
    </row>
    <row r="43" spans="1:16" ht="24.9" customHeight="1" x14ac:dyDescent="0.2">
      <c r="A43" s="16" t="s">
        <v>554</v>
      </c>
      <c r="B43" s="85">
        <f>+IHERA_Equip!E68</f>
        <v>684</v>
      </c>
      <c r="C43" s="86">
        <f>+IHERA_Equip!K68+IHERA_Equip!L68</f>
        <v>0.88919999999999999</v>
      </c>
      <c r="D43" s="94">
        <f>+IHERA_Equip!M68</f>
        <v>0.4788</v>
      </c>
      <c r="E43" s="94">
        <f t="shared" ref="E43:E50" si="2">+C43+D43</f>
        <v>1.3679999999999999</v>
      </c>
      <c r="F43" s="95">
        <f>+IHERA_Equip!I68</f>
        <v>100</v>
      </c>
      <c r="G43" s="146">
        <f>+IHERA_Equip!F68</f>
        <v>684</v>
      </c>
      <c r="H43" s="130">
        <f>+Cto_Eq!J21</f>
        <v>1.8525</v>
      </c>
      <c r="I43" s="130">
        <f>+Cto_Eq!J48</f>
        <v>0.47880000000000006</v>
      </c>
      <c r="J43" s="289">
        <f t="shared" si="0"/>
        <v>2.3313000000000001</v>
      </c>
      <c r="K43" s="130">
        <f>+Cto_Eq!J6</f>
        <v>5.333333333333333</v>
      </c>
      <c r="L43" s="130">
        <f>+Cto_Eq!K6</f>
        <v>48</v>
      </c>
      <c r="M43" s="130">
        <f>+Cto_Eq!L6</f>
        <v>1</v>
      </c>
      <c r="N43" s="130">
        <f>+Cto_Eq!M6</f>
        <v>48</v>
      </c>
      <c r="O43" s="285">
        <f t="shared" si="1"/>
        <v>111.9024</v>
      </c>
      <c r="P43" s="130"/>
    </row>
    <row r="44" spans="1:16" ht="24.9" customHeight="1" x14ac:dyDescent="0.2">
      <c r="A44" s="96" t="s">
        <v>886</v>
      </c>
      <c r="B44" s="97">
        <f>+IHERA_Equip!F133</f>
        <v>4557</v>
      </c>
      <c r="C44" s="86">
        <f>+IHERA_Equip!K133+IHERA_Equip!L133</f>
        <v>5.9241000000000001</v>
      </c>
      <c r="D44" s="94">
        <f>+IHERA_Equip!M133</f>
        <v>3.6456</v>
      </c>
      <c r="E44" s="94">
        <f t="shared" si="2"/>
        <v>9.569700000000001</v>
      </c>
      <c r="F44" s="95">
        <f>+IHERA_Equip!I133</f>
        <v>100</v>
      </c>
      <c r="G44" s="146">
        <f>+IHERA_Equip!F133</f>
        <v>4557</v>
      </c>
      <c r="H44" s="130">
        <f>+Cto_Eq!J22</f>
        <v>5.2658666666666667</v>
      </c>
      <c r="I44" s="130">
        <f>+Cto_Eq!J49</f>
        <v>3.6456000000000004</v>
      </c>
      <c r="J44" s="289">
        <f t="shared" si="0"/>
        <v>8.9114666666666675</v>
      </c>
      <c r="K44" s="130">
        <f>+Cto_Eq!J7</f>
        <v>12.5</v>
      </c>
      <c r="L44" s="130">
        <f>+Cto_Eq!K7</f>
        <v>75</v>
      </c>
      <c r="M44" s="130">
        <f>+Cto_Eq!L7</f>
        <v>1</v>
      </c>
      <c r="N44" s="130">
        <f>+Cto_Eq!M7</f>
        <v>75</v>
      </c>
      <c r="O44" s="285">
        <f t="shared" si="1"/>
        <v>668.36</v>
      </c>
      <c r="P44" s="130"/>
    </row>
    <row r="45" spans="1:16" ht="24.9" customHeight="1" x14ac:dyDescent="0.2">
      <c r="A45" s="96" t="s">
        <v>884</v>
      </c>
      <c r="B45" s="97">
        <f>+IHERA_Equip!F133</f>
        <v>4557</v>
      </c>
      <c r="C45" s="86">
        <f>+IHERA_Equip!K133+IHERA_Equip!L133</f>
        <v>5.9241000000000001</v>
      </c>
      <c r="D45" s="94">
        <f>+IHERA_Equip!M133</f>
        <v>3.6456</v>
      </c>
      <c r="E45" s="94">
        <f t="shared" si="2"/>
        <v>9.569700000000001</v>
      </c>
      <c r="F45" s="95">
        <f>+IHERA_Equip!I133</f>
        <v>100</v>
      </c>
      <c r="G45" s="146">
        <f>+IHERA_Equip!F133</f>
        <v>4557</v>
      </c>
      <c r="H45" s="130">
        <f>+Cto_Eq!J23</f>
        <v>5.2658666666666667</v>
      </c>
      <c r="I45" s="130">
        <f>+Cto_Eq!J50</f>
        <v>3.6456000000000004</v>
      </c>
      <c r="J45" s="289">
        <f t="shared" si="0"/>
        <v>8.9114666666666675</v>
      </c>
      <c r="K45" s="130">
        <f>+Cto_Eq!J8</f>
        <v>12.5</v>
      </c>
      <c r="L45" s="130">
        <f>+Cto_Eq!K8</f>
        <v>37.5</v>
      </c>
      <c r="M45" s="130">
        <f>+Cto_Eq!L8</f>
        <v>1</v>
      </c>
      <c r="N45" s="130">
        <f>+Cto_Eq!M8</f>
        <v>37.5</v>
      </c>
      <c r="O45" s="285">
        <f t="shared" si="1"/>
        <v>334.18</v>
      </c>
      <c r="P45" s="130"/>
    </row>
    <row r="46" spans="1:16" ht="24.9" customHeight="1" x14ac:dyDescent="0.2">
      <c r="A46" s="100" t="s">
        <v>885</v>
      </c>
      <c r="B46" s="97">
        <f>+IHERA_Equip!E128</f>
        <v>3189</v>
      </c>
      <c r="C46" s="86">
        <f>+IHERA_Equip!K128+IHERA_Equip!L128</f>
        <v>4.1340000000000003</v>
      </c>
      <c r="D46" s="94">
        <f>+IHERA_Equip!M128</f>
        <v>2.544</v>
      </c>
      <c r="E46" s="94">
        <f t="shared" si="2"/>
        <v>6.6780000000000008</v>
      </c>
      <c r="F46" s="95">
        <f>+IHERA_Equip!I128</f>
        <v>100</v>
      </c>
      <c r="G46" s="146">
        <f>+IHERA_Equip!F128</f>
        <v>3180</v>
      </c>
      <c r="H46" s="130">
        <f>+Cto_Eq!J24</f>
        <v>9.1866666666666674</v>
      </c>
      <c r="I46" s="130">
        <f>+Cto_Eq!J51</f>
        <v>2.544</v>
      </c>
      <c r="J46" s="289">
        <f t="shared" si="0"/>
        <v>11.730666666666668</v>
      </c>
      <c r="K46" s="130">
        <f>+Cto_Eq!J9</f>
        <v>5</v>
      </c>
      <c r="L46" s="130">
        <f>+Cto_Eq!K9</f>
        <v>45</v>
      </c>
      <c r="M46" s="130">
        <f>+Cto_Eq!L9</f>
        <v>1</v>
      </c>
      <c r="N46" s="130">
        <f>+Cto_Eq!M9</f>
        <v>45</v>
      </c>
      <c r="O46" s="285">
        <f t="shared" si="1"/>
        <v>527.88000000000011</v>
      </c>
      <c r="P46" s="130"/>
    </row>
    <row r="47" spans="1:16" ht="24.9" customHeight="1" x14ac:dyDescent="0.2">
      <c r="A47" s="98" t="s">
        <v>560</v>
      </c>
      <c r="B47" s="99">
        <f>+IHERA_Equip!E241</f>
        <v>3000</v>
      </c>
      <c r="C47" s="86">
        <f>+IHERA_Equip!K241+IHERA_Equip!L241</f>
        <v>3.9</v>
      </c>
      <c r="D47" s="94">
        <f>+IHERA_Equip!M241</f>
        <v>1.2</v>
      </c>
      <c r="E47" s="94">
        <f>+C47+D47</f>
        <v>5.0999999999999996</v>
      </c>
      <c r="F47" s="95">
        <f>+IHERA_Equip!I241</f>
        <v>100</v>
      </c>
      <c r="G47" s="146">
        <f>+IHERA_Equip!F241</f>
        <v>3000</v>
      </c>
      <c r="H47" s="130">
        <f>+Cto_Eq!J25</f>
        <v>10.4</v>
      </c>
      <c r="I47" s="130">
        <f>+Cto_Eq!J52</f>
        <v>1.2</v>
      </c>
      <c r="J47" s="289">
        <f t="shared" si="0"/>
        <v>11.6</v>
      </c>
      <c r="K47" s="130">
        <f>+Cto_Eq!J10</f>
        <v>4.166666666666667</v>
      </c>
      <c r="L47" s="130">
        <f>+Cto_Eq!K10</f>
        <v>37.5</v>
      </c>
      <c r="M47" s="130">
        <f>+Cto_Eq!L10</f>
        <v>1</v>
      </c>
      <c r="N47" s="130">
        <f>+Cto_Eq!M10</f>
        <v>37.5</v>
      </c>
      <c r="O47" s="285">
        <f t="shared" si="1"/>
        <v>435</v>
      </c>
      <c r="P47" s="130"/>
    </row>
    <row r="48" spans="1:16" ht="24.9" customHeight="1" x14ac:dyDescent="0.2">
      <c r="A48" s="98" t="s">
        <v>567</v>
      </c>
      <c r="B48" s="99">
        <f>+IHERA_Equip!E242</f>
        <v>2500</v>
      </c>
      <c r="C48" s="86">
        <f>+IHERA_Equip!K242+IHERA_Equip!L242</f>
        <v>3.25</v>
      </c>
      <c r="D48" s="94">
        <f>+IHERA_Equip!M242</f>
        <v>1</v>
      </c>
      <c r="E48" s="94">
        <f>+C48+D48</f>
        <v>4.25</v>
      </c>
      <c r="F48" s="95">
        <f>+IHERA_Equip!I242</f>
        <v>100</v>
      </c>
      <c r="G48" s="146">
        <f>+IHERA_Equip!F242</f>
        <v>2500</v>
      </c>
      <c r="H48" s="130">
        <f>+Cto_Eq!J26</f>
        <v>8.6666666666666679</v>
      </c>
      <c r="I48" s="130">
        <f>+Cto_Eq!J53</f>
        <v>1</v>
      </c>
      <c r="J48" s="289">
        <f t="shared" si="0"/>
        <v>9.6666666666666679</v>
      </c>
      <c r="K48" s="130">
        <f>+Cto_Eq!J11</f>
        <v>4.166666666666667</v>
      </c>
      <c r="L48" s="130">
        <f>+Cto_Eq!K11</f>
        <v>37.5</v>
      </c>
      <c r="M48" s="130">
        <f>+Cto_Eq!L11</f>
        <v>1</v>
      </c>
      <c r="N48" s="130">
        <f>+Cto_Eq!M11</f>
        <v>37.5</v>
      </c>
      <c r="O48" s="285">
        <f t="shared" si="1"/>
        <v>362.50000000000006</v>
      </c>
      <c r="P48" s="130"/>
    </row>
    <row r="49" spans="1:16" ht="24.9" customHeight="1" x14ac:dyDescent="0.2">
      <c r="A49" s="100" t="s">
        <v>888</v>
      </c>
      <c r="B49" s="97">
        <f>+IHERA_Equip!E176</f>
        <v>2576</v>
      </c>
      <c r="C49" s="86">
        <f>+IHERA_Equip!K176+IHERA_Equip!L176</f>
        <v>3.3488000000000002</v>
      </c>
      <c r="D49" s="94">
        <f>+IHERA_Equip!M176</f>
        <v>0.77280000000000004</v>
      </c>
      <c r="E49" s="94">
        <f t="shared" si="2"/>
        <v>4.1215999999999999</v>
      </c>
      <c r="F49" s="95">
        <f>+IHERA_Equip!I176</f>
        <v>100</v>
      </c>
      <c r="G49" s="146">
        <f>+IHERA_Equip!F176</f>
        <v>2576</v>
      </c>
      <c r="H49" s="130">
        <f>+Cto_Eq!J27</f>
        <v>9.9223703703703698</v>
      </c>
      <c r="I49" s="130">
        <f>+Cto_Eq!J54</f>
        <v>0.87279999999999991</v>
      </c>
      <c r="J49" s="289">
        <f t="shared" si="0"/>
        <v>10.79517037037037</v>
      </c>
      <c r="K49" s="130">
        <f>+Cto_Eq!J12</f>
        <v>0</v>
      </c>
      <c r="L49" s="130">
        <f>+Cto_Eq!K12</f>
        <v>33.75</v>
      </c>
      <c r="M49" s="130">
        <f>+Cto_Eq!L12</f>
        <v>1</v>
      </c>
      <c r="N49" s="130">
        <f>+Cto_Eq!M12</f>
        <v>33.75</v>
      </c>
      <c r="O49" s="285">
        <f t="shared" si="1"/>
        <v>364.33699999999999</v>
      </c>
      <c r="P49" s="130"/>
    </row>
    <row r="50" spans="1:16" ht="24.9" customHeight="1" x14ac:dyDescent="0.2">
      <c r="A50" s="100" t="s">
        <v>887</v>
      </c>
      <c r="B50" s="97">
        <f>+IHERA_Equip!E176</f>
        <v>2576</v>
      </c>
      <c r="C50" s="86">
        <f>+IHERA_Equip!K176+IHERA_Equip!L176</f>
        <v>3.3488000000000002</v>
      </c>
      <c r="D50" s="94">
        <f>+IHERA_Equip!M176</f>
        <v>0.77280000000000004</v>
      </c>
      <c r="E50" s="94">
        <f t="shared" si="2"/>
        <v>4.1215999999999999</v>
      </c>
      <c r="F50" s="95">
        <f>+IHERA_Equip!I176</f>
        <v>100</v>
      </c>
      <c r="G50" s="146">
        <f>+IHERA_Equip!F176</f>
        <v>2576</v>
      </c>
      <c r="H50" s="130">
        <f>+Cto_Eq!J28</f>
        <v>9.9223703703703698</v>
      </c>
      <c r="I50" s="130">
        <f>+Cto_Eq!J55</f>
        <v>0.87279999999999991</v>
      </c>
      <c r="J50" s="289">
        <f t="shared" si="0"/>
        <v>10.79517037037037</v>
      </c>
      <c r="K50" s="130">
        <f>+Cto_Eq!J13</f>
        <v>0</v>
      </c>
      <c r="L50" s="130">
        <f>+Cto_Eq!K13</f>
        <v>33.75</v>
      </c>
      <c r="M50" s="130">
        <f>+Cto_Eq!L13</f>
        <v>1</v>
      </c>
      <c r="N50" s="130">
        <f>+Cto_Eq!M13</f>
        <v>33.75</v>
      </c>
      <c r="O50" s="285">
        <f t="shared" si="1"/>
        <v>364.33699999999999</v>
      </c>
      <c r="P50" s="130"/>
    </row>
    <row r="51" spans="1:16" ht="24.9" customHeight="1" x14ac:dyDescent="0.2">
      <c r="A51" s="100" t="s">
        <v>40</v>
      </c>
      <c r="B51" s="97"/>
      <c r="C51" s="86"/>
      <c r="D51" s="94"/>
      <c r="E51" s="94"/>
      <c r="F51" s="95"/>
      <c r="G51" s="146"/>
      <c r="H51" s="207"/>
      <c r="I51" s="207"/>
      <c r="J51" s="207"/>
      <c r="K51" s="207"/>
      <c r="L51" s="207"/>
      <c r="M51" s="207"/>
      <c r="N51" s="207"/>
      <c r="O51" s="207"/>
    </row>
    <row r="52" spans="1:16" ht="5.0999999999999996" customHeight="1" x14ac:dyDescent="0.25">
      <c r="A52" s="138"/>
      <c r="B52" s="139"/>
      <c r="C52" s="140"/>
      <c r="D52" s="140"/>
      <c r="E52" s="140"/>
      <c r="F52" s="140"/>
      <c r="G52" s="417"/>
      <c r="H52" s="418"/>
      <c r="I52" s="418"/>
    </row>
    <row r="53" spans="1:16" ht="24.9" customHeight="1" x14ac:dyDescent="0.25">
      <c r="A53" s="118" t="s">
        <v>635</v>
      </c>
      <c r="B53" s="84" t="s">
        <v>608</v>
      </c>
      <c r="C53" s="84" t="s">
        <v>722</v>
      </c>
      <c r="E53" s="139"/>
      <c r="F53" s="139"/>
      <c r="G53" s="253" t="s">
        <v>671</v>
      </c>
      <c r="H53" s="101" t="s">
        <v>608</v>
      </c>
      <c r="I53" s="101" t="s">
        <v>609</v>
      </c>
      <c r="J53" s="101" t="s">
        <v>612</v>
      </c>
      <c r="K53" s="260" t="s">
        <v>693</v>
      </c>
      <c r="L53" s="195" t="s">
        <v>611</v>
      </c>
      <c r="M53" s="101" t="s">
        <v>615</v>
      </c>
      <c r="N53" s="206" t="s">
        <v>636</v>
      </c>
      <c r="O53" s="101" t="s">
        <v>681</v>
      </c>
    </row>
    <row r="54" spans="1:16" ht="20.100000000000001" customHeight="1" x14ac:dyDescent="0.2">
      <c r="A54" s="16" t="s">
        <v>610</v>
      </c>
      <c r="B54" s="202">
        <v>750</v>
      </c>
      <c r="C54" s="93">
        <f>$G$14*$G$15*11</f>
        <v>2420</v>
      </c>
      <c r="G54" s="146">
        <v>2</v>
      </c>
      <c r="H54" s="146">
        <f>B54*G54</f>
        <v>1500</v>
      </c>
      <c r="I54" s="196">
        <v>30</v>
      </c>
      <c r="J54" s="196">
        <f>+H54+(H54*I54/100)</f>
        <v>1950</v>
      </c>
      <c r="K54" s="285">
        <f>+J54*14</f>
        <v>27300</v>
      </c>
      <c r="L54" s="146">
        <f>$G$14*$G$15*11*G54</f>
        <v>4840</v>
      </c>
      <c r="M54" s="203">
        <f>+K54/L54</f>
        <v>5.6404958677685952</v>
      </c>
      <c r="N54" s="146">
        <f>+L54/$B$4</f>
        <v>537.77777777777783</v>
      </c>
      <c r="O54" s="146">
        <f>+K54/$G$4</f>
        <v>3033.3333333333335</v>
      </c>
    </row>
    <row r="55" spans="1:16" ht="24.9" customHeight="1" x14ac:dyDescent="0.2">
      <c r="A55" s="117" t="s">
        <v>558</v>
      </c>
      <c r="B55" s="202">
        <v>650</v>
      </c>
      <c r="C55" s="93">
        <f>$G$14*$G$15*11</f>
        <v>2420</v>
      </c>
      <c r="G55" s="146">
        <v>3</v>
      </c>
      <c r="H55" s="146">
        <f>B55*G55</f>
        <v>1950</v>
      </c>
      <c r="I55" s="196">
        <v>30</v>
      </c>
      <c r="J55" s="196">
        <f>+H55+(H55*I55/100)</f>
        <v>2535</v>
      </c>
      <c r="K55" s="285">
        <f>+J55*14</f>
        <v>35490</v>
      </c>
      <c r="L55" s="146">
        <f>$G$14*$G$15*11*G55</f>
        <v>7260</v>
      </c>
      <c r="M55" s="203">
        <f>+K55/L55</f>
        <v>4.8884297520661155</v>
      </c>
      <c r="N55" s="146">
        <f>+L55/$B$4</f>
        <v>806.66666666666663</v>
      </c>
      <c r="O55" s="146">
        <f>+K55/$G$4</f>
        <v>3943.3333333333335</v>
      </c>
    </row>
    <row r="56" spans="1:16" ht="20.100000000000001" customHeight="1" x14ac:dyDescent="0.2">
      <c r="A56" s="144" t="s">
        <v>40</v>
      </c>
      <c r="G56" s="132"/>
      <c r="J56" s="130"/>
      <c r="K56" s="131"/>
    </row>
    <row r="57" spans="1:16" ht="24.9" customHeight="1" x14ac:dyDescent="0.25">
      <c r="A57" s="274" t="s">
        <v>632</v>
      </c>
      <c r="B57" s="84" t="s">
        <v>674</v>
      </c>
      <c r="C57" s="84" t="s">
        <v>52</v>
      </c>
      <c r="D57" s="132" t="s">
        <v>46</v>
      </c>
      <c r="E57" s="139"/>
      <c r="F57" s="139"/>
      <c r="G57" s="253" t="s">
        <v>674</v>
      </c>
      <c r="H57" s="101" t="s">
        <v>52</v>
      </c>
      <c r="I57" s="101" t="s">
        <v>675</v>
      </c>
      <c r="J57" s="101" t="s">
        <v>671</v>
      </c>
      <c r="K57" s="296" t="s">
        <v>672</v>
      </c>
      <c r="L57" s="272" t="s">
        <v>690</v>
      </c>
      <c r="M57" s="260" t="s">
        <v>683</v>
      </c>
      <c r="N57" s="272"/>
      <c r="O57" s="101"/>
    </row>
    <row r="58" spans="1:16" ht="20.100000000000001" customHeight="1" x14ac:dyDescent="0.2">
      <c r="A58" s="16" t="s">
        <v>631</v>
      </c>
      <c r="B58" s="147">
        <v>10</v>
      </c>
      <c r="C58" s="147" t="str">
        <f>+B11</f>
        <v>125</v>
      </c>
      <c r="D58" s="147">
        <v>1</v>
      </c>
      <c r="E58" s="87"/>
      <c r="G58" s="130">
        <v>10</v>
      </c>
      <c r="H58" s="130">
        <f>+G11</f>
        <v>125</v>
      </c>
      <c r="I58" s="130">
        <f>+G58*H58</f>
        <v>1250</v>
      </c>
      <c r="J58" s="146">
        <v>5</v>
      </c>
      <c r="K58" s="271">
        <f>+H58/J58</f>
        <v>25</v>
      </c>
      <c r="L58" s="259">
        <f>+K58/$G$14</f>
        <v>2.5</v>
      </c>
      <c r="M58" s="287">
        <f>+I58*$G$4</f>
        <v>11250</v>
      </c>
    </row>
    <row r="59" spans="1:16" ht="20.100000000000001" customHeight="1" x14ac:dyDescent="0.2">
      <c r="A59" s="16" t="s">
        <v>55</v>
      </c>
      <c r="B59" s="87"/>
      <c r="C59" s="87"/>
      <c r="D59" s="87"/>
      <c r="E59" s="87"/>
      <c r="I59" s="131"/>
      <c r="J59" s="130"/>
    </row>
    <row r="60" spans="1:16" ht="24.9" customHeight="1" x14ac:dyDescent="0.25">
      <c r="A60" s="274" t="s">
        <v>633</v>
      </c>
      <c r="B60" s="84" t="s">
        <v>674</v>
      </c>
      <c r="C60" s="84" t="s">
        <v>52</v>
      </c>
      <c r="D60" s="132" t="s">
        <v>46</v>
      </c>
      <c r="E60" s="139"/>
      <c r="F60" s="139"/>
      <c r="G60" s="253" t="s">
        <v>674</v>
      </c>
      <c r="H60" s="101" t="s">
        <v>52</v>
      </c>
      <c r="I60" s="101" t="s">
        <v>53</v>
      </c>
      <c r="J60" s="101" t="s">
        <v>671</v>
      </c>
      <c r="K60" s="296" t="s">
        <v>672</v>
      </c>
      <c r="L60" s="272" t="s">
        <v>673</v>
      </c>
      <c r="M60" s="260" t="s">
        <v>683</v>
      </c>
      <c r="N60" s="272"/>
      <c r="O60" s="101"/>
    </row>
    <row r="61" spans="1:16" ht="20.100000000000001" customHeight="1" x14ac:dyDescent="0.2">
      <c r="A61" s="16" t="s">
        <v>634</v>
      </c>
      <c r="B61" s="147">
        <v>5</v>
      </c>
      <c r="C61" s="202" t="str">
        <f>+B12</f>
        <v>100</v>
      </c>
      <c r="D61" s="147">
        <v>1</v>
      </c>
      <c r="E61" s="87"/>
      <c r="G61" s="130">
        <v>5</v>
      </c>
      <c r="H61" s="146">
        <f>+G12</f>
        <v>100</v>
      </c>
      <c r="I61" s="130">
        <f>+G61*H61</f>
        <v>500</v>
      </c>
      <c r="J61" s="146">
        <v>5</v>
      </c>
      <c r="K61" s="271">
        <f>+H61/J61</f>
        <v>20</v>
      </c>
      <c r="L61" s="259">
        <f>+K61/$G$14</f>
        <v>2</v>
      </c>
      <c r="M61" s="287">
        <f>+I61*$G$4</f>
        <v>4500</v>
      </c>
    </row>
    <row r="62" spans="1:16" ht="20.100000000000001" customHeight="1" x14ac:dyDescent="0.2">
      <c r="A62" s="16" t="s">
        <v>595</v>
      </c>
      <c r="B62" s="87">
        <v>5</v>
      </c>
      <c r="C62" s="93">
        <f>+B10</f>
        <v>75</v>
      </c>
      <c r="D62" s="87">
        <v>1</v>
      </c>
      <c r="E62" s="87"/>
      <c r="G62" s="130">
        <v>5</v>
      </c>
      <c r="H62" s="146">
        <f>+G10</f>
        <v>75</v>
      </c>
      <c r="I62" s="185">
        <f>+G62*H62</f>
        <v>375</v>
      </c>
      <c r="J62" s="146">
        <v>10</v>
      </c>
      <c r="K62" s="256">
        <f>+H62/J62</f>
        <v>7.5</v>
      </c>
      <c r="L62" s="259">
        <f>+K62/$G$14</f>
        <v>0.75</v>
      </c>
      <c r="M62" s="287">
        <f>+I62*$G$4</f>
        <v>3375</v>
      </c>
    </row>
    <row r="63" spans="1:16" ht="20.100000000000001" customHeight="1" x14ac:dyDescent="0.2">
      <c r="A63" s="16" t="s">
        <v>40</v>
      </c>
      <c r="B63" s="87"/>
      <c r="C63" s="87"/>
      <c r="D63" s="87"/>
      <c r="E63" s="87"/>
      <c r="G63" s="207"/>
      <c r="H63" s="207"/>
      <c r="I63" s="255"/>
      <c r="J63" s="207"/>
      <c r="K63" s="207"/>
    </row>
    <row r="64" spans="1:16" ht="5.0999999999999996" customHeight="1" x14ac:dyDescent="0.25">
      <c r="A64" s="138"/>
      <c r="B64" s="139"/>
      <c r="C64" s="140"/>
      <c r="D64" s="140"/>
      <c r="E64" s="140"/>
      <c r="F64" s="140"/>
      <c r="G64" s="417"/>
      <c r="H64" s="418"/>
      <c r="I64" s="418"/>
    </row>
    <row r="65" spans="1:12" ht="20.100000000000001" customHeight="1" x14ac:dyDescent="0.2">
      <c r="A65" s="118" t="s">
        <v>39</v>
      </c>
      <c r="B65" s="84" t="s">
        <v>676</v>
      </c>
      <c r="C65" s="84" t="s">
        <v>677</v>
      </c>
      <c r="D65" s="84" t="s">
        <v>691</v>
      </c>
      <c r="E65" s="91"/>
      <c r="F65" s="91"/>
      <c r="G65" s="88" t="s">
        <v>676</v>
      </c>
      <c r="H65" s="88" t="s">
        <v>677</v>
      </c>
      <c r="I65" s="88" t="s">
        <v>691</v>
      </c>
      <c r="J65" s="88" t="s">
        <v>675</v>
      </c>
      <c r="K65" s="89" t="s">
        <v>683</v>
      </c>
      <c r="L65" s="121"/>
    </row>
    <row r="66" spans="1:12" ht="20.100000000000001" customHeight="1" x14ac:dyDescent="0.2">
      <c r="A66" s="16" t="s">
        <v>540</v>
      </c>
      <c r="B66" s="147">
        <v>6</v>
      </c>
      <c r="C66" s="147">
        <v>5</v>
      </c>
      <c r="D66" s="103">
        <v>1</v>
      </c>
      <c r="E66" s="87"/>
      <c r="F66" s="91"/>
      <c r="G66" s="123">
        <v>6</v>
      </c>
      <c r="H66" s="123">
        <v>5</v>
      </c>
      <c r="I66" s="127">
        <v>1</v>
      </c>
      <c r="J66" s="127">
        <f>+G66*H66*I66</f>
        <v>30</v>
      </c>
      <c r="K66" s="291">
        <f>+$G$4*J66</f>
        <v>270</v>
      </c>
      <c r="L66" s="121"/>
    </row>
    <row r="67" spans="1:12" ht="20.100000000000001" customHeight="1" x14ac:dyDescent="0.2">
      <c r="A67" s="118" t="s">
        <v>40</v>
      </c>
      <c r="B67" s="91"/>
      <c r="C67" s="91"/>
      <c r="D67" s="91"/>
      <c r="E67" s="91"/>
      <c r="F67" s="91"/>
      <c r="G67" s="121"/>
      <c r="H67" s="121"/>
      <c r="I67" s="121"/>
      <c r="J67" s="121"/>
      <c r="K67" s="293"/>
      <c r="L67" s="121"/>
    </row>
    <row r="68" spans="1:12" ht="20.100000000000001" customHeight="1" x14ac:dyDescent="0.2">
      <c r="A68" s="16" t="s">
        <v>541</v>
      </c>
      <c r="B68" s="147">
        <v>10</v>
      </c>
      <c r="C68" s="87">
        <v>2.5</v>
      </c>
      <c r="D68" s="103">
        <v>3</v>
      </c>
      <c r="E68" s="87"/>
      <c r="F68" s="103"/>
      <c r="G68" s="123">
        <v>10</v>
      </c>
      <c r="H68" s="123">
        <v>2.5</v>
      </c>
      <c r="I68" s="127">
        <v>3</v>
      </c>
      <c r="J68" s="127">
        <f>+G68*H68*I68</f>
        <v>75</v>
      </c>
      <c r="K68" s="291">
        <f>+$G$4*J68</f>
        <v>675</v>
      </c>
      <c r="L68" s="127"/>
    </row>
    <row r="69" spans="1:12" ht="20.100000000000001" customHeight="1" x14ac:dyDescent="0.2">
      <c r="A69" s="16" t="s">
        <v>542</v>
      </c>
      <c r="B69" s="147">
        <v>10</v>
      </c>
      <c r="C69" s="87">
        <v>2.5</v>
      </c>
      <c r="D69" s="103">
        <v>5</v>
      </c>
      <c r="E69" s="87"/>
      <c r="F69" s="103"/>
      <c r="G69" s="123">
        <v>10</v>
      </c>
      <c r="H69" s="123">
        <v>2.5</v>
      </c>
      <c r="I69" s="127">
        <v>5</v>
      </c>
      <c r="J69" s="127">
        <f>+G69*H69*I69</f>
        <v>125</v>
      </c>
      <c r="K69" s="291">
        <f>+$G$4*J69</f>
        <v>1125</v>
      </c>
      <c r="L69" s="127"/>
    </row>
    <row r="70" spans="1:12" ht="20.100000000000001" customHeight="1" x14ac:dyDescent="0.2">
      <c r="A70" s="117" t="s">
        <v>40</v>
      </c>
      <c r="B70" s="87"/>
      <c r="C70" s="87"/>
      <c r="D70" s="104"/>
      <c r="E70" s="104"/>
      <c r="F70" s="104"/>
      <c r="G70" s="123"/>
      <c r="H70" s="123"/>
      <c r="I70" s="128"/>
      <c r="J70" s="128"/>
      <c r="K70" s="294"/>
      <c r="L70" s="128"/>
    </row>
    <row r="71" spans="1:12" ht="20.100000000000001" customHeight="1" x14ac:dyDescent="0.2">
      <c r="A71" s="16" t="s">
        <v>543</v>
      </c>
      <c r="B71" s="147">
        <v>0.5</v>
      </c>
      <c r="C71" s="95">
        <v>300</v>
      </c>
      <c r="D71" s="95">
        <v>2</v>
      </c>
      <c r="E71" s="87"/>
      <c r="F71" s="95"/>
      <c r="G71" s="123">
        <v>0.5</v>
      </c>
      <c r="H71" s="129">
        <v>300</v>
      </c>
      <c r="I71" s="129">
        <v>2</v>
      </c>
      <c r="J71" s="127">
        <f>+G71*H71*I71</f>
        <v>300</v>
      </c>
      <c r="K71" s="291">
        <f>+$G$4*J71</f>
        <v>2700</v>
      </c>
      <c r="L71" s="129"/>
    </row>
    <row r="72" spans="1:12" ht="20.100000000000001" customHeight="1" x14ac:dyDescent="0.2">
      <c r="A72" s="117" t="s">
        <v>544</v>
      </c>
      <c r="B72" s="147">
        <v>0.5</v>
      </c>
      <c r="C72" s="95">
        <v>300</v>
      </c>
      <c r="D72" s="95">
        <v>2</v>
      </c>
      <c r="E72" s="87"/>
      <c r="F72" s="87"/>
      <c r="G72" s="123">
        <v>0.5</v>
      </c>
      <c r="H72" s="129">
        <v>300</v>
      </c>
      <c r="I72" s="129">
        <v>2</v>
      </c>
      <c r="J72" s="127">
        <f>+G72*H72*I72</f>
        <v>300</v>
      </c>
      <c r="K72" s="291">
        <f>+$G$4*J72</f>
        <v>2700</v>
      </c>
      <c r="L72" s="123"/>
    </row>
    <row r="73" spans="1:12" ht="20.100000000000001" customHeight="1" x14ac:dyDescent="0.2">
      <c r="A73" s="117" t="s">
        <v>545</v>
      </c>
      <c r="B73" s="147">
        <v>0.5</v>
      </c>
      <c r="C73" s="95">
        <v>50</v>
      </c>
      <c r="D73" s="95">
        <v>1</v>
      </c>
      <c r="E73" s="87"/>
      <c r="F73" s="87"/>
      <c r="G73" s="123">
        <v>0.5</v>
      </c>
      <c r="H73" s="129">
        <v>50</v>
      </c>
      <c r="I73" s="129">
        <v>1</v>
      </c>
      <c r="J73" s="127">
        <f>+G73*H73*I73</f>
        <v>25</v>
      </c>
      <c r="K73" s="291">
        <f>+$G$4*J73</f>
        <v>225</v>
      </c>
      <c r="L73" s="123"/>
    </row>
    <row r="74" spans="1:12" ht="20.100000000000001" customHeight="1" x14ac:dyDescent="0.2">
      <c r="A74" s="117" t="s">
        <v>43</v>
      </c>
      <c r="B74" s="87"/>
      <c r="C74" s="87"/>
      <c r="D74" s="87"/>
      <c r="E74" s="87"/>
      <c r="F74" s="87"/>
      <c r="G74" s="123"/>
      <c r="H74" s="123"/>
      <c r="I74" s="123"/>
      <c r="J74" s="123"/>
      <c r="K74" s="291"/>
      <c r="L74" s="123"/>
    </row>
    <row r="75" spans="1:12" ht="20.100000000000001" customHeight="1" x14ac:dyDescent="0.2">
      <c r="A75" s="117" t="s">
        <v>626</v>
      </c>
      <c r="B75" s="148">
        <v>7.4999999999999997E-2</v>
      </c>
      <c r="C75" s="87">
        <v>1000</v>
      </c>
      <c r="D75" s="95">
        <v>1</v>
      </c>
      <c r="E75" s="87"/>
      <c r="F75" s="87"/>
      <c r="G75" s="125">
        <v>7.4999999999999997E-2</v>
      </c>
      <c r="H75" s="123">
        <v>1000</v>
      </c>
      <c r="I75" s="129">
        <v>1</v>
      </c>
      <c r="J75" s="127">
        <f>+G75*H75*I75</f>
        <v>75</v>
      </c>
      <c r="K75" s="291">
        <f>+$G$4*J75</f>
        <v>675</v>
      </c>
      <c r="L75" s="123"/>
    </row>
    <row r="76" spans="1:12" ht="20.100000000000001" customHeight="1" x14ac:dyDescent="0.2">
      <c r="A76" s="117" t="s">
        <v>40</v>
      </c>
      <c r="B76" s="148"/>
      <c r="C76" s="87"/>
      <c r="D76" s="87"/>
      <c r="E76" s="87"/>
      <c r="F76" s="87"/>
      <c r="G76" s="125"/>
      <c r="H76" s="123"/>
      <c r="I76" s="123"/>
      <c r="J76" s="123"/>
      <c r="K76" s="291"/>
      <c r="L76" s="123"/>
    </row>
    <row r="77" spans="1:12" ht="5.0999999999999996" customHeight="1" x14ac:dyDescent="0.25">
      <c r="A77" s="138"/>
      <c r="B77" s="139"/>
      <c r="C77" s="140"/>
      <c r="D77" s="140"/>
      <c r="E77" s="140"/>
      <c r="F77" s="140"/>
      <c r="G77" s="417"/>
      <c r="H77" s="418"/>
      <c r="I77" s="418"/>
    </row>
    <row r="78" spans="1:12" ht="20.100000000000001" customHeight="1" x14ac:dyDescent="0.2">
      <c r="A78" s="118" t="s">
        <v>45</v>
      </c>
      <c r="B78" s="92" t="s">
        <v>44</v>
      </c>
      <c r="C78" s="87"/>
      <c r="D78" s="87"/>
      <c r="E78" s="87"/>
      <c r="F78" s="290" t="s">
        <v>679</v>
      </c>
      <c r="G78" s="290" t="s">
        <v>676</v>
      </c>
      <c r="H78" s="121" t="s">
        <v>46</v>
      </c>
      <c r="I78" s="89" t="s">
        <v>678</v>
      </c>
      <c r="J78" s="88" t="s">
        <v>675</v>
      </c>
      <c r="K78" s="123"/>
    </row>
    <row r="79" spans="1:12" ht="24.9" customHeight="1" x14ac:dyDescent="0.2">
      <c r="A79" s="117" t="s">
        <v>630</v>
      </c>
      <c r="B79" s="147">
        <v>5</v>
      </c>
      <c r="C79" s="87"/>
      <c r="D79" s="87"/>
      <c r="E79" s="87"/>
      <c r="F79" s="129">
        <v>50</v>
      </c>
      <c r="G79" s="123">
        <v>5</v>
      </c>
      <c r="H79" s="123">
        <v>250</v>
      </c>
      <c r="I79" s="284">
        <f>+G79*H79/F79</f>
        <v>25</v>
      </c>
      <c r="J79" s="123">
        <f>+I79/G4</f>
        <v>2.7777777777777777</v>
      </c>
      <c r="K79" s="123"/>
    </row>
    <row r="80" spans="1:12" ht="24.9" customHeight="1" x14ac:dyDescent="0.2">
      <c r="A80" s="117" t="s">
        <v>629</v>
      </c>
      <c r="B80" s="147">
        <v>5</v>
      </c>
      <c r="C80" s="87"/>
      <c r="D80" s="87"/>
      <c r="E80" s="87"/>
      <c r="F80" s="129">
        <v>50</v>
      </c>
      <c r="G80" s="123">
        <v>5</v>
      </c>
      <c r="H80" s="123">
        <v>200</v>
      </c>
      <c r="I80" s="284">
        <f>+G80*H80/F80</f>
        <v>20</v>
      </c>
      <c r="J80" s="123">
        <f>+I80/G4</f>
        <v>2.2222222222222223</v>
      </c>
      <c r="K80" s="123"/>
    </row>
    <row r="81" spans="1:15" ht="24.9" customHeight="1" x14ac:dyDescent="0.2">
      <c r="A81" s="117" t="s">
        <v>40</v>
      </c>
      <c r="B81" s="148"/>
      <c r="C81" s="87"/>
      <c r="D81" s="87"/>
      <c r="E81" s="87"/>
      <c r="F81" s="87"/>
      <c r="G81" s="125"/>
      <c r="H81" s="123"/>
      <c r="I81" s="123"/>
      <c r="J81" s="123"/>
      <c r="K81" s="123"/>
    </row>
    <row r="82" spans="1:15" ht="5.0999999999999996" customHeight="1" x14ac:dyDescent="0.25">
      <c r="A82" s="138"/>
      <c r="B82" s="139"/>
      <c r="C82" s="140"/>
      <c r="D82" s="140"/>
      <c r="E82" s="140"/>
      <c r="F82" s="140"/>
      <c r="G82" s="417"/>
      <c r="H82" s="418"/>
      <c r="I82" s="418"/>
    </row>
    <row r="83" spans="1:15" ht="24.9" customHeight="1" x14ac:dyDescent="0.2">
      <c r="A83" s="118" t="s">
        <v>546</v>
      </c>
      <c r="B83" s="262" t="s">
        <v>676</v>
      </c>
      <c r="C83" s="148" t="s">
        <v>46</v>
      </c>
      <c r="D83" s="87"/>
      <c r="E83" s="87"/>
      <c r="F83" s="87"/>
      <c r="G83" s="290" t="s">
        <v>676</v>
      </c>
      <c r="H83" s="121" t="s">
        <v>46</v>
      </c>
      <c r="I83" s="88" t="s">
        <v>684</v>
      </c>
      <c r="J83" s="88" t="s">
        <v>685</v>
      </c>
      <c r="K83" s="123"/>
    </row>
    <row r="84" spans="1:15" ht="20.100000000000001" customHeight="1" x14ac:dyDescent="0.2">
      <c r="A84" s="117" t="s">
        <v>40</v>
      </c>
      <c r="B84" s="92"/>
      <c r="C84" s="92"/>
      <c r="D84" s="87"/>
      <c r="E84" s="87"/>
      <c r="F84" s="87"/>
      <c r="G84" s="125"/>
      <c r="H84" s="125"/>
      <c r="I84" s="125"/>
      <c r="J84" s="125"/>
      <c r="K84" s="123"/>
    </row>
    <row r="85" spans="1:15" ht="20.100000000000001" customHeight="1" x14ac:dyDescent="0.2">
      <c r="A85" s="117" t="s">
        <v>40</v>
      </c>
      <c r="B85" s="92"/>
      <c r="C85" s="87"/>
      <c r="D85" s="87"/>
      <c r="E85" s="87"/>
      <c r="F85" s="87"/>
      <c r="G85" s="125"/>
      <c r="H85" s="123"/>
      <c r="I85" s="123"/>
      <c r="J85" s="123"/>
      <c r="K85" s="123"/>
    </row>
    <row r="86" spans="1:15" x14ac:dyDescent="0.2">
      <c r="B86" s="425" t="s">
        <v>686</v>
      </c>
      <c r="C86" s="426"/>
      <c r="D86" s="426"/>
      <c r="E86" s="426"/>
      <c r="F86" s="426"/>
      <c r="G86" s="426"/>
      <c r="H86" s="426"/>
      <c r="I86" s="426"/>
      <c r="J86" s="426"/>
      <c r="K86" s="426"/>
      <c r="L86" s="426"/>
      <c r="M86" s="426"/>
      <c r="N86" s="426"/>
      <c r="O86" s="426"/>
    </row>
  </sheetData>
  <mergeCells count="10">
    <mergeCell ref="G17:I17"/>
    <mergeCell ref="B1:F1"/>
    <mergeCell ref="G1:O1"/>
    <mergeCell ref="B86:O86"/>
    <mergeCell ref="G39:I39"/>
    <mergeCell ref="G52:I52"/>
    <mergeCell ref="G64:I64"/>
    <mergeCell ref="G77:I77"/>
    <mergeCell ref="G82:I82"/>
    <mergeCell ref="G22:I22"/>
  </mergeCells>
  <hyperlinks>
    <hyperlink ref="O2" location="Indice!A1" display="Índice"/>
  </hyperlinks>
  <printOptions horizontalCentered="1" gridLines="1"/>
  <pageMargins left="7.874015748031496E-2" right="7.874015748031496E-2" top="7.874015748031496E-2" bottom="7.874015748031496E-2" header="0.31496062992125984" footer="0.31496062992125984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C62" sqref="C62"/>
    </sheetView>
  </sheetViews>
  <sheetFormatPr defaultRowHeight="13.8" x14ac:dyDescent="0.3"/>
  <cols>
    <col min="1" max="1" width="24.5546875" customWidth="1"/>
    <col min="2" max="2" width="15.5546875" customWidth="1"/>
    <col min="3" max="3" width="9.44140625" customWidth="1"/>
    <col min="4" max="8" width="8.6640625" customWidth="1"/>
    <col min="9" max="9" width="8.44140625" customWidth="1"/>
    <col min="10" max="10" width="12" customWidth="1"/>
    <col min="11" max="11" width="11.5546875" customWidth="1"/>
    <col min="12" max="13" width="10.6640625" customWidth="1"/>
  </cols>
  <sheetData>
    <row r="1" spans="1:15" ht="15.6" x14ac:dyDescent="0.3">
      <c r="A1" s="399" t="s">
        <v>917</v>
      </c>
      <c r="B1" s="431" t="s">
        <v>56</v>
      </c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5" x14ac:dyDescent="0.3">
      <c r="B2" s="11" t="s">
        <v>58</v>
      </c>
      <c r="C2" s="11" t="s">
        <v>59</v>
      </c>
      <c r="D2" s="12" t="s">
        <v>60</v>
      </c>
      <c r="E2" s="11" t="s">
        <v>61</v>
      </c>
      <c r="F2" s="13" t="s">
        <v>62</v>
      </c>
      <c r="G2" s="14" t="s">
        <v>63</v>
      </c>
      <c r="H2" s="14" t="s">
        <v>63</v>
      </c>
      <c r="I2" s="427" t="s">
        <v>64</v>
      </c>
      <c r="J2" s="14" t="s">
        <v>552</v>
      </c>
      <c r="K2" s="14" t="s">
        <v>552</v>
      </c>
      <c r="L2" s="427" t="s">
        <v>65</v>
      </c>
      <c r="M2" s="15" t="s">
        <v>66</v>
      </c>
    </row>
    <row r="3" spans="1:15" x14ac:dyDescent="0.3">
      <c r="B3" s="11" t="s">
        <v>67</v>
      </c>
      <c r="C3" s="11" t="s">
        <v>68</v>
      </c>
      <c r="D3" s="11" t="s">
        <v>69</v>
      </c>
      <c r="E3" s="11" t="s">
        <v>70</v>
      </c>
      <c r="F3" s="14" t="s">
        <v>71</v>
      </c>
      <c r="G3" s="14" t="s">
        <v>70</v>
      </c>
      <c r="H3" s="14" t="s">
        <v>72</v>
      </c>
      <c r="I3" s="428"/>
      <c r="J3" s="14" t="s">
        <v>72</v>
      </c>
      <c r="K3" s="14" t="s">
        <v>114</v>
      </c>
      <c r="L3" s="428"/>
      <c r="M3" s="15" t="s">
        <v>73</v>
      </c>
    </row>
    <row r="4" spans="1:15" ht="22.8" x14ac:dyDescent="0.3">
      <c r="A4" s="16" t="str">
        <f>+Dados!A41</f>
        <v>Prepodadora (Tr 53 cv)
LinhaNº232 (IHERA)</v>
      </c>
      <c r="B4" s="19">
        <f>+Dados!B4</f>
        <v>9</v>
      </c>
      <c r="C4" s="19">
        <f>+Dados!G5</f>
        <v>2</v>
      </c>
      <c r="D4" s="19">
        <f>+Vel_Ec!C56</f>
        <v>3</v>
      </c>
      <c r="E4" s="19">
        <f t="shared" ref="E4:E11" si="0">(C4*D4)/10</f>
        <v>0.6</v>
      </c>
      <c r="F4" s="20">
        <f>+Vel_Ec!E56</f>
        <v>80</v>
      </c>
      <c r="G4" s="19">
        <f t="shared" ref="G4:G10" si="1">(E4*F4)/100</f>
        <v>0.48</v>
      </c>
      <c r="H4" s="19">
        <f t="shared" ref="H4:H11" si="2">1/G4</f>
        <v>2.0833333333333335</v>
      </c>
      <c r="I4" s="19">
        <v>1</v>
      </c>
      <c r="J4" s="19">
        <f t="shared" ref="J4:J11" si="3">H4*I4</f>
        <v>2.0833333333333335</v>
      </c>
      <c r="K4" s="19">
        <f>+J4*B4</f>
        <v>18.75</v>
      </c>
      <c r="L4" s="19">
        <v>1</v>
      </c>
      <c r="M4" s="405">
        <f t="shared" ref="M4:M13" si="4">+K4*L4</f>
        <v>18.75</v>
      </c>
    </row>
    <row r="5" spans="1:15" ht="22.8" x14ac:dyDescent="0.3">
      <c r="A5" s="16" t="str">
        <f>+Dados!A42</f>
        <v>Trit.de sarmentos (Tr 45 cv)
LinhaNº235 (IHERA)</v>
      </c>
      <c r="B5" s="19">
        <f>+Dados!B4</f>
        <v>9</v>
      </c>
      <c r="C5" s="19">
        <f>+Dados!G5</f>
        <v>2</v>
      </c>
      <c r="D5" s="19">
        <f>+Vel_Ec!C59</f>
        <v>3</v>
      </c>
      <c r="E5" s="19">
        <f t="shared" si="0"/>
        <v>0.6</v>
      </c>
      <c r="F5" s="20">
        <f>+Vel_Ec!E59</f>
        <v>80</v>
      </c>
      <c r="G5" s="19">
        <f t="shared" si="1"/>
        <v>0.48</v>
      </c>
      <c r="H5" s="19">
        <f t="shared" si="2"/>
        <v>2.0833333333333335</v>
      </c>
      <c r="I5" s="19">
        <v>1</v>
      </c>
      <c r="J5" s="19">
        <f t="shared" si="3"/>
        <v>2.0833333333333335</v>
      </c>
      <c r="K5" s="19">
        <f t="shared" ref="K5:K11" si="5">+J5*B5</f>
        <v>18.75</v>
      </c>
      <c r="L5" s="19">
        <v>1</v>
      </c>
      <c r="M5" s="405">
        <f>+K5*L5</f>
        <v>18.75</v>
      </c>
    </row>
    <row r="6" spans="1:15" ht="22.8" x14ac:dyDescent="0.3">
      <c r="A6" s="16" t="str">
        <f>+Dados!A43</f>
        <v>Escarificador  (Tr 53 cv)
LinhaNº65 (IHERA)</v>
      </c>
      <c r="B6" s="21">
        <f>+Dados!B4</f>
        <v>9</v>
      </c>
      <c r="C6" s="19">
        <f>+Dados!G5</f>
        <v>2</v>
      </c>
      <c r="D6" s="19">
        <f>+Vel_Ec!C10</f>
        <v>2.5</v>
      </c>
      <c r="E6" s="19">
        <f t="shared" si="0"/>
        <v>0.5</v>
      </c>
      <c r="F6" s="20">
        <f>+Vel_Ec!E10</f>
        <v>75</v>
      </c>
      <c r="G6" s="19">
        <f t="shared" si="1"/>
        <v>0.375</v>
      </c>
      <c r="H6" s="19">
        <f t="shared" si="2"/>
        <v>2.6666666666666665</v>
      </c>
      <c r="I6" s="19">
        <v>2</v>
      </c>
      <c r="J6" s="19">
        <f t="shared" si="3"/>
        <v>5.333333333333333</v>
      </c>
      <c r="K6" s="19">
        <f t="shared" si="5"/>
        <v>48</v>
      </c>
      <c r="L6" s="19">
        <v>1</v>
      </c>
      <c r="M6" s="405">
        <f t="shared" si="4"/>
        <v>48</v>
      </c>
    </row>
    <row r="7" spans="1:15" ht="22.8" x14ac:dyDescent="0.3">
      <c r="A7" s="96" t="str">
        <f>+Dados!A44</f>
        <v>Pulv400L (Tr 53 cv)
LinhaNº130 (IHERA)</v>
      </c>
      <c r="B7" s="21">
        <f>+Dados!B2</f>
        <v>6</v>
      </c>
      <c r="C7" s="19">
        <f>+Dados!G5</f>
        <v>2</v>
      </c>
      <c r="D7" s="19">
        <f>+Vel_Ec!C28</f>
        <v>5</v>
      </c>
      <c r="E7" s="19">
        <f t="shared" si="0"/>
        <v>1</v>
      </c>
      <c r="F7" s="20">
        <f>+Vel_Ec!E28</f>
        <v>40</v>
      </c>
      <c r="G7" s="19">
        <f t="shared" si="1"/>
        <v>0.4</v>
      </c>
      <c r="H7" s="19">
        <f t="shared" si="2"/>
        <v>2.5</v>
      </c>
      <c r="I7" s="19">
        <v>5</v>
      </c>
      <c r="J7" s="19">
        <f t="shared" si="3"/>
        <v>12.5</v>
      </c>
      <c r="K7" s="19">
        <f t="shared" si="5"/>
        <v>75</v>
      </c>
      <c r="L7" s="19">
        <v>1</v>
      </c>
      <c r="M7" s="406">
        <f t="shared" si="4"/>
        <v>75</v>
      </c>
    </row>
    <row r="8" spans="1:15" ht="22.8" x14ac:dyDescent="0.3">
      <c r="A8" s="96" t="str">
        <f>+Dados!A45</f>
        <v>Pulv300L (Tr 45 cv)
LinhaNº130 (IHERA)</v>
      </c>
      <c r="B8" s="21">
        <f>+Dados!B3</f>
        <v>3</v>
      </c>
      <c r="C8" s="19">
        <f>+Dados!G5</f>
        <v>2</v>
      </c>
      <c r="D8" s="19">
        <f>+Vel_Ec!C28</f>
        <v>5</v>
      </c>
      <c r="E8" s="19">
        <f t="shared" si="0"/>
        <v>1</v>
      </c>
      <c r="F8" s="20">
        <f>+Vel_Ec!E28</f>
        <v>40</v>
      </c>
      <c r="G8" s="19">
        <f t="shared" si="1"/>
        <v>0.4</v>
      </c>
      <c r="H8" s="19">
        <f t="shared" si="2"/>
        <v>2.5</v>
      </c>
      <c r="I8" s="19">
        <v>5</v>
      </c>
      <c r="J8" s="19">
        <f t="shared" si="3"/>
        <v>12.5</v>
      </c>
      <c r="K8" s="19">
        <f t="shared" si="5"/>
        <v>37.5</v>
      </c>
      <c r="L8" s="19">
        <v>1</v>
      </c>
      <c r="M8" s="406">
        <f t="shared" si="4"/>
        <v>37.5</v>
      </c>
      <c r="O8" s="149"/>
    </row>
    <row r="9" spans="1:15" ht="22.8" x14ac:dyDescent="0.3">
      <c r="A9" s="100" t="str">
        <f>+Dados!A46</f>
        <v>PJP300L  (Tr 45 cv)
LinhaNº125 (IHERA)</v>
      </c>
      <c r="B9" s="21">
        <f>+Dados!B4</f>
        <v>9</v>
      </c>
      <c r="C9" s="19">
        <f>+Dados!G5</f>
        <v>2</v>
      </c>
      <c r="D9" s="19">
        <f>+Vel_Ec!C28</f>
        <v>5</v>
      </c>
      <c r="E9" s="19">
        <f t="shared" si="0"/>
        <v>1</v>
      </c>
      <c r="F9" s="20">
        <f>+Vel_Ec!E28</f>
        <v>40</v>
      </c>
      <c r="G9" s="19">
        <f t="shared" si="1"/>
        <v>0.4</v>
      </c>
      <c r="H9" s="19">
        <f t="shared" si="2"/>
        <v>2.5</v>
      </c>
      <c r="I9" s="19">
        <v>2</v>
      </c>
      <c r="J9" s="19">
        <f t="shared" si="3"/>
        <v>5</v>
      </c>
      <c r="K9" s="19">
        <f t="shared" si="5"/>
        <v>45</v>
      </c>
      <c r="L9" s="19">
        <v>1</v>
      </c>
      <c r="M9" s="405">
        <f t="shared" si="4"/>
        <v>45</v>
      </c>
    </row>
    <row r="10" spans="1:15" ht="22.8" x14ac:dyDescent="0.3">
      <c r="A10" s="98" t="str">
        <f>+Dados!A47</f>
        <v>Despontadora  (Tr 45 cv)
LinhaNº241 (IHERA)</v>
      </c>
      <c r="B10" s="21">
        <f>+Dados!B4</f>
        <v>9</v>
      </c>
      <c r="C10" s="19">
        <f>+Dados!G5</f>
        <v>2</v>
      </c>
      <c r="D10" s="19">
        <f>+Vel_Ec!C57</f>
        <v>3</v>
      </c>
      <c r="E10" s="19">
        <f t="shared" si="0"/>
        <v>0.6</v>
      </c>
      <c r="F10" s="20">
        <f>+Vel_Ec!E57</f>
        <v>80</v>
      </c>
      <c r="G10" s="19">
        <f t="shared" si="1"/>
        <v>0.48</v>
      </c>
      <c r="H10" s="19">
        <f t="shared" si="2"/>
        <v>2.0833333333333335</v>
      </c>
      <c r="I10" s="19">
        <v>2</v>
      </c>
      <c r="J10" s="19">
        <f t="shared" si="3"/>
        <v>4.166666666666667</v>
      </c>
      <c r="K10" s="19">
        <f t="shared" si="5"/>
        <v>37.5</v>
      </c>
      <c r="L10" s="19">
        <v>1</v>
      </c>
      <c r="M10" s="405">
        <f t="shared" si="4"/>
        <v>37.5</v>
      </c>
    </row>
    <row r="11" spans="1:15" ht="22.8" x14ac:dyDescent="0.3">
      <c r="A11" s="100" t="str">
        <f>+Dados!A48</f>
        <v>Triturador de erva (Tr 45)
LinhaNº234 (IHERA)</v>
      </c>
      <c r="B11" s="21">
        <f>+Dados!B4</f>
        <v>9</v>
      </c>
      <c r="C11" s="19">
        <f>+Dados!G5</f>
        <v>2</v>
      </c>
      <c r="D11" s="19">
        <f>+Vel_Ec!C58</f>
        <v>3</v>
      </c>
      <c r="E11" s="19">
        <f t="shared" si="0"/>
        <v>0.6</v>
      </c>
      <c r="F11" s="20">
        <f>+Vel_Ec!E58</f>
        <v>80</v>
      </c>
      <c r="G11" s="19">
        <f>(E11*F11)/100</f>
        <v>0.48</v>
      </c>
      <c r="H11" s="19">
        <f t="shared" si="2"/>
        <v>2.0833333333333335</v>
      </c>
      <c r="I11" s="19">
        <v>2</v>
      </c>
      <c r="J11" s="19">
        <f t="shared" si="3"/>
        <v>4.166666666666667</v>
      </c>
      <c r="K11" s="19">
        <f t="shared" si="5"/>
        <v>37.5</v>
      </c>
      <c r="L11" s="19">
        <v>1</v>
      </c>
      <c r="M11" s="405">
        <f t="shared" si="4"/>
        <v>37.5</v>
      </c>
    </row>
    <row r="12" spans="1:15" ht="22.8" x14ac:dyDescent="0.3">
      <c r="A12" s="100" t="str">
        <f>+Dados!A49</f>
        <v>Semi-R.4T kg  (Tr 53 cv)
LinhaNº173 (IHERA)</v>
      </c>
      <c r="B12" s="21">
        <f>+Dados!B4/2</f>
        <v>4.5</v>
      </c>
      <c r="C12" s="19"/>
      <c r="D12" s="19"/>
      <c r="E12" s="19"/>
      <c r="F12" s="20"/>
      <c r="G12" s="19"/>
      <c r="H12" s="19"/>
      <c r="I12" s="19"/>
      <c r="J12" s="19"/>
      <c r="K12" s="19">
        <f>+B12*Dados!K62</f>
        <v>33.75</v>
      </c>
      <c r="L12" s="19">
        <v>1</v>
      </c>
      <c r="M12" s="405">
        <f t="shared" si="4"/>
        <v>33.75</v>
      </c>
    </row>
    <row r="13" spans="1:15" ht="22.8" x14ac:dyDescent="0.3">
      <c r="A13" s="100" t="str">
        <f>+Dados!A50</f>
        <v>Semi-R. 4T  (Tr 45 cv)
LinhaNº173 (IHERA)</v>
      </c>
      <c r="B13" s="21">
        <f>+Dados!B4/2</f>
        <v>4.5</v>
      </c>
      <c r="C13" s="19"/>
      <c r="D13" s="19"/>
      <c r="E13" s="19"/>
      <c r="F13" s="20"/>
      <c r="G13" s="19"/>
      <c r="H13" s="19"/>
      <c r="I13" s="19"/>
      <c r="J13" s="19"/>
      <c r="K13" s="19">
        <f>+B13*Dados!K62</f>
        <v>33.75</v>
      </c>
      <c r="L13" s="19">
        <v>1</v>
      </c>
      <c r="M13" s="405">
        <f t="shared" si="4"/>
        <v>33.75</v>
      </c>
    </row>
    <row r="14" spans="1:15" ht="16.2" customHeight="1" x14ac:dyDescent="0.3">
      <c r="A14" s="18"/>
      <c r="B14" s="11"/>
      <c r="C14" s="11"/>
      <c r="D14" s="11"/>
      <c r="E14" s="11"/>
      <c r="F14" s="14"/>
      <c r="G14" s="14"/>
      <c r="H14" s="14"/>
      <c r="I14" s="14"/>
      <c r="J14" s="150" t="s">
        <v>575</v>
      </c>
      <c r="K14" s="14">
        <f>SUM(K4:K13)</f>
        <v>385.5</v>
      </c>
      <c r="L14" s="14"/>
      <c r="M14" s="407">
        <f>SUM(M4:M13)</f>
        <v>385.5</v>
      </c>
    </row>
    <row r="15" spans="1:15" ht="5.0999999999999996" customHeight="1" x14ac:dyDescent="0.3">
      <c r="A15" s="18"/>
      <c r="B15" s="11"/>
      <c r="C15" s="11"/>
      <c r="D15" s="11"/>
      <c r="E15" s="11"/>
      <c r="F15" s="14"/>
      <c r="G15" s="14"/>
      <c r="H15" s="14"/>
      <c r="I15" s="14"/>
      <c r="J15" s="150"/>
      <c r="K15" s="14"/>
      <c r="L15" s="14"/>
      <c r="M15" s="14"/>
    </row>
    <row r="16" spans="1:15" ht="15.6" x14ac:dyDescent="0.3">
      <c r="A16" s="23"/>
      <c r="B16" s="431" t="s">
        <v>74</v>
      </c>
      <c r="C16" s="431"/>
      <c r="D16" s="431"/>
      <c r="E16" s="431"/>
      <c r="F16" s="431"/>
      <c r="G16" s="431"/>
      <c r="H16" s="431"/>
      <c r="I16" s="431"/>
      <c r="J16" s="431"/>
      <c r="K16" s="431"/>
      <c r="L16" s="24"/>
      <c r="M16" s="25"/>
    </row>
    <row r="17" spans="1:13" x14ac:dyDescent="0.3">
      <c r="A17" s="429" t="s">
        <v>57</v>
      </c>
      <c r="B17" s="26" t="s">
        <v>75</v>
      </c>
      <c r="C17" s="26" t="s">
        <v>76</v>
      </c>
      <c r="D17" s="26" t="s">
        <v>77</v>
      </c>
      <c r="E17" s="26" t="s">
        <v>78</v>
      </c>
      <c r="F17" s="26" t="s">
        <v>79</v>
      </c>
      <c r="G17" s="27" t="s">
        <v>80</v>
      </c>
      <c r="H17" s="27" t="s">
        <v>81</v>
      </c>
      <c r="I17" s="27" t="s">
        <v>82</v>
      </c>
      <c r="J17" s="26" t="s">
        <v>694</v>
      </c>
      <c r="K17" s="26" t="s">
        <v>694</v>
      </c>
      <c r="L17" s="411" t="s">
        <v>694</v>
      </c>
      <c r="M17" s="29"/>
    </row>
    <row r="18" spans="1:13" x14ac:dyDescent="0.3">
      <c r="A18" s="430"/>
      <c r="B18" s="26" t="s">
        <v>84</v>
      </c>
      <c r="C18" s="26" t="s">
        <v>85</v>
      </c>
      <c r="D18" s="26" t="s">
        <v>86</v>
      </c>
      <c r="E18" s="26" t="s">
        <v>71</v>
      </c>
      <c r="F18" s="26" t="s">
        <v>71</v>
      </c>
      <c r="G18" s="27" t="s">
        <v>87</v>
      </c>
      <c r="H18" s="27" t="s">
        <v>87</v>
      </c>
      <c r="I18" s="27" t="s">
        <v>87</v>
      </c>
      <c r="J18" s="26" t="s">
        <v>87</v>
      </c>
      <c r="K18" s="26" t="s">
        <v>88</v>
      </c>
      <c r="L18" s="411" t="s">
        <v>695</v>
      </c>
      <c r="M18" s="29"/>
    </row>
    <row r="19" spans="1:13" ht="22.8" x14ac:dyDescent="0.3">
      <c r="A19" s="16" t="str">
        <f>+A4</f>
        <v>Prepodadora (Tr 53 cv)
LinhaNº232 (IHERA)</v>
      </c>
      <c r="B19" s="26">
        <f>+IHERA_Equip!F240</f>
        <v>5000</v>
      </c>
      <c r="C19" s="26">
        <v>0</v>
      </c>
      <c r="D19" s="26">
        <f>+IHERA_Equip!H240</f>
        <v>10</v>
      </c>
      <c r="E19" s="22">
        <f>+IHERA_Equip!L1</f>
        <v>3</v>
      </c>
      <c r="F19" s="22">
        <v>0</v>
      </c>
      <c r="G19" s="22">
        <f>(B19)/(M4*D19)</f>
        <v>26.666666666666668</v>
      </c>
      <c r="H19" s="22">
        <f>((B19)/(M4))*(E19/100)</f>
        <v>8</v>
      </c>
      <c r="I19" s="22">
        <f>((B19)/(M4)*(F19/100))</f>
        <v>0</v>
      </c>
      <c r="J19" s="22">
        <f>G19+H19+I19</f>
        <v>34.666666666666671</v>
      </c>
      <c r="K19" s="22">
        <f>+J19*H4</f>
        <v>72.222222222222243</v>
      </c>
      <c r="L19" s="28">
        <f>+J19*M4</f>
        <v>650.00000000000011</v>
      </c>
      <c r="M19" s="29"/>
    </row>
    <row r="20" spans="1:13" ht="22.8" x14ac:dyDescent="0.3">
      <c r="A20" s="16" t="str">
        <f t="shared" ref="A20:A28" si="6">+A5</f>
        <v>Trit.de sarmentos (Tr 45 cv)
LinhaNº235 (IHERA)</v>
      </c>
      <c r="B20" s="26">
        <f>+IHERA_Equip!F243</f>
        <v>2500</v>
      </c>
      <c r="C20" s="26">
        <f>+$C$19</f>
        <v>0</v>
      </c>
      <c r="D20" s="26">
        <f>+IHERA_Equip!H243</f>
        <v>10</v>
      </c>
      <c r="E20" s="22">
        <f>+$E$19</f>
        <v>3</v>
      </c>
      <c r="F20" s="22">
        <f>+$F$19</f>
        <v>0</v>
      </c>
      <c r="G20" s="22">
        <f>(B20)/(M5*D20)</f>
        <v>13.333333333333334</v>
      </c>
      <c r="H20" s="22">
        <f>((B20)/(M5))*(E20/100)</f>
        <v>4</v>
      </c>
      <c r="I20" s="22">
        <f>((B20)/(M5)*(F20/100))</f>
        <v>0</v>
      </c>
      <c r="J20" s="22">
        <f>G20+H20+I20</f>
        <v>17.333333333333336</v>
      </c>
      <c r="K20" s="22">
        <f t="shared" ref="K20:K28" si="7">+J20*H5</f>
        <v>36.111111111111121</v>
      </c>
      <c r="L20" s="28">
        <f t="shared" ref="L20:L28" si="8">+J20*M5</f>
        <v>325.00000000000006</v>
      </c>
      <c r="M20" s="29"/>
    </row>
    <row r="21" spans="1:13" ht="22.8" x14ac:dyDescent="0.3">
      <c r="A21" s="16" t="str">
        <f t="shared" si="6"/>
        <v>Escarificador  (Tr 53 cv)
LinhaNº65 (IHERA)</v>
      </c>
      <c r="B21" s="26">
        <f>+IHERA_Equip!F68</f>
        <v>684</v>
      </c>
      <c r="C21" s="26">
        <f>+$C$19</f>
        <v>0</v>
      </c>
      <c r="D21" s="26">
        <f>+IHERA_Equip!H68</f>
        <v>10</v>
      </c>
      <c r="E21" s="22">
        <f>+$E$19</f>
        <v>3</v>
      </c>
      <c r="F21" s="22">
        <f>+$F$19</f>
        <v>0</v>
      </c>
      <c r="G21" s="22">
        <f>(B21)/(M6*D21)</f>
        <v>1.425</v>
      </c>
      <c r="H21" s="22">
        <f>((B21)/(M6))*(E21/100)</f>
        <v>0.42749999999999999</v>
      </c>
      <c r="I21" s="22">
        <f>((B21)/(M6)*(F21/100))</f>
        <v>0</v>
      </c>
      <c r="J21" s="22">
        <f t="shared" ref="J21:J28" si="9">G21+H21+I21</f>
        <v>1.8525</v>
      </c>
      <c r="K21" s="22">
        <f t="shared" si="7"/>
        <v>4.9399999999999995</v>
      </c>
      <c r="L21" s="28">
        <f t="shared" si="8"/>
        <v>88.92</v>
      </c>
      <c r="M21" s="29"/>
    </row>
    <row r="22" spans="1:13" ht="22.8" x14ac:dyDescent="0.3">
      <c r="A22" s="226" t="str">
        <f t="shared" si="6"/>
        <v>Pulv400L (Tr 53 cv)
LinhaNº130 (IHERA)</v>
      </c>
      <c r="B22" s="26">
        <f>+IHERA_Equip!F133</f>
        <v>4557</v>
      </c>
      <c r="C22" s="26">
        <f t="shared" ref="C22:C28" si="10">+$C$19</f>
        <v>0</v>
      </c>
      <c r="D22" s="26">
        <f>+IHERA_Equip!H133</f>
        <v>10</v>
      </c>
      <c r="E22" s="22">
        <f t="shared" ref="E22:E28" si="11">+$E$19</f>
        <v>3</v>
      </c>
      <c r="F22" s="22">
        <f t="shared" ref="F22:F28" si="12">+$F$19</f>
        <v>0</v>
      </c>
      <c r="G22" s="22">
        <f>(B22)/((M7+M8)*D22)</f>
        <v>4.0506666666666664</v>
      </c>
      <c r="H22" s="22">
        <f>((B22)/(M7+M8))*(E22/100)</f>
        <v>1.2152000000000001</v>
      </c>
      <c r="I22" s="22">
        <f>((B22)/(M7+M8)*(F22/100))</f>
        <v>0</v>
      </c>
      <c r="J22" s="22">
        <f t="shared" si="9"/>
        <v>5.2658666666666667</v>
      </c>
      <c r="K22" s="22">
        <f t="shared" si="7"/>
        <v>13.164666666666667</v>
      </c>
      <c r="L22" s="28">
        <f t="shared" si="8"/>
        <v>394.94</v>
      </c>
      <c r="M22" s="29"/>
    </row>
    <row r="23" spans="1:13" ht="22.8" x14ac:dyDescent="0.3">
      <c r="A23" s="96" t="str">
        <f t="shared" si="6"/>
        <v>Pulv300L (Tr 45 cv)
LinhaNº130 (IHERA)</v>
      </c>
      <c r="B23" s="26">
        <f>+IHERA_Equip!F133</f>
        <v>4557</v>
      </c>
      <c r="C23" s="26">
        <f>+$C$19</f>
        <v>0</v>
      </c>
      <c r="D23" s="26">
        <f>+IHERA_Equip!H133</f>
        <v>10</v>
      </c>
      <c r="E23" s="22">
        <f t="shared" si="11"/>
        <v>3</v>
      </c>
      <c r="F23" s="22">
        <f>+$F$19</f>
        <v>0</v>
      </c>
      <c r="G23" s="22">
        <f>(B23)/((M7+M8)*D23)</f>
        <v>4.0506666666666664</v>
      </c>
      <c r="H23" s="22">
        <f>((B23)/(M7+M8))*(E23/100)</f>
        <v>1.2152000000000001</v>
      </c>
      <c r="I23" s="22">
        <f>((B23)/(M7+M8)*(F23/100))</f>
        <v>0</v>
      </c>
      <c r="J23" s="22">
        <f>G23+H23+I23</f>
        <v>5.2658666666666667</v>
      </c>
      <c r="K23" s="22">
        <f t="shared" si="7"/>
        <v>13.164666666666667</v>
      </c>
      <c r="L23" s="28">
        <f t="shared" si="8"/>
        <v>197.47</v>
      </c>
      <c r="M23" s="29"/>
    </row>
    <row r="24" spans="1:13" ht="22.8" x14ac:dyDescent="0.3">
      <c r="A24" s="100" t="str">
        <f t="shared" si="6"/>
        <v>PJP300L  (Tr 45 cv)
LinhaNº125 (IHERA)</v>
      </c>
      <c r="B24" s="26">
        <f>+IHERA_Equip!F128</f>
        <v>3180</v>
      </c>
      <c r="C24" s="26">
        <f t="shared" si="10"/>
        <v>0</v>
      </c>
      <c r="D24" s="26">
        <f>+IHERA_Equip!H128</f>
        <v>10</v>
      </c>
      <c r="E24" s="22">
        <f t="shared" si="11"/>
        <v>3</v>
      </c>
      <c r="F24" s="22">
        <f t="shared" si="12"/>
        <v>0</v>
      </c>
      <c r="G24" s="22">
        <f>(B24)/(M9*D24)</f>
        <v>7.0666666666666664</v>
      </c>
      <c r="H24" s="22">
        <f>((B24)/(M9))*(E24/100)</f>
        <v>2.12</v>
      </c>
      <c r="I24" s="22">
        <f>((B24)/(M9)*(F24/100))</f>
        <v>0</v>
      </c>
      <c r="J24" s="22">
        <f t="shared" si="9"/>
        <v>9.1866666666666674</v>
      </c>
      <c r="K24" s="22">
        <f t="shared" si="7"/>
        <v>22.966666666666669</v>
      </c>
      <c r="L24" s="28">
        <f t="shared" si="8"/>
        <v>413.40000000000003</v>
      </c>
      <c r="M24" s="29"/>
    </row>
    <row r="25" spans="1:13" ht="22.8" x14ac:dyDescent="0.3">
      <c r="A25" s="98" t="str">
        <f t="shared" si="6"/>
        <v>Despontadora  (Tr 45 cv)
LinhaNº241 (IHERA)</v>
      </c>
      <c r="B25" s="26">
        <f>+IHERA_Equip!F241</f>
        <v>3000</v>
      </c>
      <c r="C25" s="26">
        <f t="shared" si="10"/>
        <v>0</v>
      </c>
      <c r="D25" s="26">
        <f>+IHERA_Equip!H241</f>
        <v>10</v>
      </c>
      <c r="E25" s="22">
        <f t="shared" si="11"/>
        <v>3</v>
      </c>
      <c r="F25" s="22">
        <f t="shared" si="12"/>
        <v>0</v>
      </c>
      <c r="G25" s="22">
        <f>(B25)/(M10*D25)</f>
        <v>8</v>
      </c>
      <c r="H25" s="22">
        <f>((B25)/(M10))*(E25/100)</f>
        <v>2.4</v>
      </c>
      <c r="I25" s="22">
        <f>((B25)/(M10)*(F25/100))</f>
        <v>0</v>
      </c>
      <c r="J25" s="22">
        <f t="shared" si="9"/>
        <v>10.4</v>
      </c>
      <c r="K25" s="22">
        <f t="shared" si="7"/>
        <v>21.666666666666668</v>
      </c>
      <c r="L25" s="28">
        <f t="shared" si="8"/>
        <v>390</v>
      </c>
      <c r="M25" s="29"/>
    </row>
    <row r="26" spans="1:13" ht="22.8" x14ac:dyDescent="0.3">
      <c r="A26" s="100" t="str">
        <f t="shared" si="6"/>
        <v>Triturador de erva (Tr 45)
LinhaNº234 (IHERA)</v>
      </c>
      <c r="B26" s="26">
        <f>+IHERA_Equip!F242</f>
        <v>2500</v>
      </c>
      <c r="C26" s="26">
        <f t="shared" si="10"/>
        <v>0</v>
      </c>
      <c r="D26" s="26">
        <f>+IHERA_Equip!H242</f>
        <v>10</v>
      </c>
      <c r="E26" s="22">
        <f t="shared" si="11"/>
        <v>3</v>
      </c>
      <c r="F26" s="22">
        <f t="shared" si="12"/>
        <v>0</v>
      </c>
      <c r="G26" s="22">
        <f>(B26)/(M11*D26)</f>
        <v>6.666666666666667</v>
      </c>
      <c r="H26" s="22">
        <f>((B26)/(M11))*(E26/100)</f>
        <v>2</v>
      </c>
      <c r="I26" s="22">
        <f>((B26)/(M11)*(F26/100))</f>
        <v>0</v>
      </c>
      <c r="J26" s="22">
        <f t="shared" si="9"/>
        <v>8.6666666666666679</v>
      </c>
      <c r="K26" s="22">
        <f t="shared" si="7"/>
        <v>18.055555555555561</v>
      </c>
      <c r="L26" s="28">
        <f t="shared" si="8"/>
        <v>325.00000000000006</v>
      </c>
      <c r="M26" s="29"/>
    </row>
    <row r="27" spans="1:13" ht="22.8" x14ac:dyDescent="0.3">
      <c r="A27" s="100" t="str">
        <f t="shared" si="6"/>
        <v>Semi-R.4T kg  (Tr 53 cv)
LinhaNº173 (IHERA)</v>
      </c>
      <c r="B27" s="26">
        <f>+IHERA_Equip!F176</f>
        <v>2576</v>
      </c>
      <c r="C27" s="26">
        <f t="shared" si="10"/>
        <v>0</v>
      </c>
      <c r="D27" s="26">
        <f>+IHERA_Equip!H176</f>
        <v>10</v>
      </c>
      <c r="E27" s="22">
        <f t="shared" si="11"/>
        <v>3</v>
      </c>
      <c r="F27" s="22">
        <f t="shared" si="12"/>
        <v>0</v>
      </c>
      <c r="G27" s="22">
        <f>(B27)/(M12*D27)</f>
        <v>7.6325925925925926</v>
      </c>
      <c r="H27" s="22">
        <f>((B27)/(M12))*(E27/100)</f>
        <v>2.2897777777777777</v>
      </c>
      <c r="I27" s="22">
        <f>((B27)/(M12)*(F27/100))</f>
        <v>0</v>
      </c>
      <c r="J27" s="22">
        <f t="shared" si="9"/>
        <v>9.9223703703703698</v>
      </c>
      <c r="K27" s="22">
        <f t="shared" si="7"/>
        <v>0</v>
      </c>
      <c r="L27" s="28">
        <f t="shared" si="8"/>
        <v>334.88</v>
      </c>
      <c r="M27" s="29"/>
    </row>
    <row r="28" spans="1:13" ht="22.8" x14ac:dyDescent="0.3">
      <c r="A28" s="100" t="str">
        <f t="shared" si="6"/>
        <v>Semi-R. 4T  (Tr 45 cv)
LinhaNº173 (IHERA)</v>
      </c>
      <c r="B28" s="26">
        <f>+IHERA_Equip!F176</f>
        <v>2576</v>
      </c>
      <c r="C28" s="26">
        <f t="shared" si="10"/>
        <v>0</v>
      </c>
      <c r="D28" s="26">
        <f>+IHERA_Equip!H176</f>
        <v>10</v>
      </c>
      <c r="E28" s="22">
        <f t="shared" si="11"/>
        <v>3</v>
      </c>
      <c r="F28" s="22">
        <f t="shared" si="12"/>
        <v>0</v>
      </c>
      <c r="G28" s="22">
        <f>(B28)/(M13*D28)</f>
        <v>7.6325925925925926</v>
      </c>
      <c r="H28" s="22">
        <f>((B28)/(M13))*(E28/100)</f>
        <v>2.2897777777777777</v>
      </c>
      <c r="I28" s="22">
        <f>((B28)/(M13)*(F28/100))</f>
        <v>0</v>
      </c>
      <c r="J28" s="22">
        <f t="shared" si="9"/>
        <v>9.9223703703703698</v>
      </c>
      <c r="K28" s="22">
        <f t="shared" si="7"/>
        <v>0</v>
      </c>
      <c r="L28" s="28">
        <f t="shared" si="8"/>
        <v>334.88</v>
      </c>
      <c r="M28" s="29"/>
    </row>
    <row r="29" spans="1:13" ht="20.100000000000001" customHeight="1" x14ac:dyDescent="0.3">
      <c r="A29" s="300" t="s">
        <v>697</v>
      </c>
      <c r="B29" s="26"/>
      <c r="C29" s="26"/>
      <c r="D29" s="26"/>
      <c r="E29" s="22"/>
      <c r="F29" s="22"/>
      <c r="G29" s="22"/>
      <c r="H29" s="22"/>
      <c r="I29" s="22"/>
      <c r="J29" s="22"/>
      <c r="K29" s="22"/>
      <c r="L29" s="301">
        <f>SUM(L19:L28)</f>
        <v>3454.4900000000007</v>
      </c>
      <c r="M29" s="29"/>
    </row>
    <row r="30" spans="1:13" ht="5.0999999999999996" customHeight="1" x14ac:dyDescent="0.3">
      <c r="A30" s="18"/>
      <c r="B30" s="11"/>
      <c r="C30" s="11"/>
      <c r="D30" s="11"/>
      <c r="E30" s="11"/>
      <c r="F30" s="14"/>
      <c r="G30" s="14"/>
      <c r="H30" s="14"/>
      <c r="I30" s="14"/>
      <c r="J30" s="14"/>
      <c r="K30" s="14"/>
      <c r="L30" s="14"/>
      <c r="M30" s="15"/>
    </row>
    <row r="31" spans="1:13" x14ac:dyDescent="0.3">
      <c r="A31" s="429" t="s">
        <v>57</v>
      </c>
      <c r="B31" s="30" t="s">
        <v>89</v>
      </c>
      <c r="C31" s="26" t="s">
        <v>90</v>
      </c>
      <c r="D31" s="26" t="s">
        <v>91</v>
      </c>
      <c r="E31" s="26" t="s">
        <v>92</v>
      </c>
      <c r="F31" s="27" t="s">
        <v>93</v>
      </c>
      <c r="G31" s="26" t="s">
        <v>94</v>
      </c>
      <c r="H31" s="26" t="s">
        <v>95</v>
      </c>
      <c r="I31" s="27" t="s">
        <v>96</v>
      </c>
      <c r="J31" s="31"/>
      <c r="K31" s="31"/>
      <c r="L31" s="31"/>
      <c r="M31" s="29"/>
    </row>
    <row r="32" spans="1:13" x14ac:dyDescent="0.3">
      <c r="A32" s="430"/>
      <c r="B32" s="30" t="s">
        <v>85</v>
      </c>
      <c r="C32" s="26" t="s">
        <v>97</v>
      </c>
      <c r="D32" s="26" t="s">
        <v>98</v>
      </c>
      <c r="E32" s="26" t="s">
        <v>99</v>
      </c>
      <c r="F32" s="27" t="s">
        <v>87</v>
      </c>
      <c r="G32" s="26" t="s">
        <v>100</v>
      </c>
      <c r="H32" s="26" t="s">
        <v>99</v>
      </c>
      <c r="I32" s="27" t="s">
        <v>87</v>
      </c>
      <c r="J32" s="31"/>
      <c r="K32" s="31"/>
      <c r="L32" s="31"/>
      <c r="M32" s="29"/>
    </row>
    <row r="33" spans="1:13" ht="22.8" x14ac:dyDescent="0.3">
      <c r="A33" s="16" t="str">
        <f t="shared" ref="A33:A42" si="13">+A19</f>
        <v>Prepodadora (Tr 53 cv)
LinhaNº232 (IHERA)</v>
      </c>
      <c r="B33" s="23">
        <v>0</v>
      </c>
      <c r="C33" s="22">
        <v>0</v>
      </c>
      <c r="D33" s="22">
        <f>+B33*C33</f>
        <v>0</v>
      </c>
      <c r="E33" s="22">
        <v>0</v>
      </c>
      <c r="F33" s="22">
        <f>+D33*E33</f>
        <v>0</v>
      </c>
      <c r="G33" s="32">
        <v>0</v>
      </c>
      <c r="H33" s="22">
        <v>0</v>
      </c>
      <c r="I33" s="22">
        <f t="shared" ref="I33:I42" si="14">C19*G33*H33</f>
        <v>0</v>
      </c>
      <c r="J33" s="31"/>
      <c r="K33" s="31"/>
      <c r="L33" s="31"/>
      <c r="M33" s="29"/>
    </row>
    <row r="34" spans="1:13" ht="22.8" x14ac:dyDescent="0.3">
      <c r="A34" s="16" t="str">
        <f t="shared" si="13"/>
        <v>Trit.de sarmentos (Tr 45 cv)
LinhaNº235 (IHERA)</v>
      </c>
      <c r="B34" s="23">
        <f t="shared" ref="B34:B42" si="15">+$B$33</f>
        <v>0</v>
      </c>
      <c r="C34" s="22">
        <f>+$C$33</f>
        <v>0</v>
      </c>
      <c r="D34" s="22">
        <f>+B35*C35</f>
        <v>0</v>
      </c>
      <c r="E34" s="22">
        <f>+$E$33</f>
        <v>0</v>
      </c>
      <c r="F34" s="22">
        <f t="shared" ref="F34:F42" si="16">+D34*E34</f>
        <v>0</v>
      </c>
      <c r="G34" s="32">
        <f>+$G$33</f>
        <v>0</v>
      </c>
      <c r="H34" s="22">
        <f>+$H$33</f>
        <v>0</v>
      </c>
      <c r="I34" s="22">
        <f t="shared" si="14"/>
        <v>0</v>
      </c>
      <c r="J34" s="31"/>
      <c r="K34" s="31"/>
      <c r="L34" s="31"/>
      <c r="M34" s="29"/>
    </row>
    <row r="35" spans="1:13" ht="22.8" x14ac:dyDescent="0.3">
      <c r="A35" s="16" t="str">
        <f t="shared" si="13"/>
        <v>Escarificador  (Tr 53 cv)
LinhaNº65 (IHERA)</v>
      </c>
      <c r="B35" s="23">
        <f t="shared" si="15"/>
        <v>0</v>
      </c>
      <c r="C35" s="22">
        <f t="shared" ref="C35:C42" si="17">+$C$33</f>
        <v>0</v>
      </c>
      <c r="D35" s="22">
        <f t="shared" ref="D35:D42" si="18">+B35*C35</f>
        <v>0</v>
      </c>
      <c r="E35" s="22">
        <f t="shared" ref="E35:E42" si="19">+$E$33</f>
        <v>0</v>
      </c>
      <c r="F35" s="22">
        <f t="shared" si="16"/>
        <v>0</v>
      </c>
      <c r="G35" s="32">
        <f t="shared" ref="G35:G42" si="20">+$G$33</f>
        <v>0</v>
      </c>
      <c r="H35" s="22">
        <f t="shared" ref="H35:H42" si="21">+$H$33</f>
        <v>0</v>
      </c>
      <c r="I35" s="22">
        <f t="shared" si="14"/>
        <v>0</v>
      </c>
      <c r="J35" s="31"/>
      <c r="K35" s="31"/>
      <c r="L35" s="31"/>
      <c r="M35" s="29"/>
    </row>
    <row r="36" spans="1:13" ht="22.8" x14ac:dyDescent="0.3">
      <c r="A36" s="96" t="str">
        <f t="shared" si="13"/>
        <v>Pulv400L (Tr 53 cv)
LinhaNº130 (IHERA)</v>
      </c>
      <c r="B36" s="23">
        <f t="shared" si="15"/>
        <v>0</v>
      </c>
      <c r="C36" s="22">
        <f t="shared" si="17"/>
        <v>0</v>
      </c>
      <c r="D36" s="22">
        <f t="shared" si="18"/>
        <v>0</v>
      </c>
      <c r="E36" s="22">
        <f t="shared" si="19"/>
        <v>0</v>
      </c>
      <c r="F36" s="22">
        <f t="shared" si="16"/>
        <v>0</v>
      </c>
      <c r="G36" s="32">
        <f t="shared" si="20"/>
        <v>0</v>
      </c>
      <c r="H36" s="22">
        <f t="shared" si="21"/>
        <v>0</v>
      </c>
      <c r="I36" s="22">
        <f t="shared" si="14"/>
        <v>0</v>
      </c>
      <c r="J36" s="31"/>
      <c r="K36" s="31"/>
      <c r="L36" s="31"/>
      <c r="M36" s="29"/>
    </row>
    <row r="37" spans="1:13" ht="22.8" x14ac:dyDescent="0.3">
      <c r="A37" s="96" t="str">
        <f t="shared" si="13"/>
        <v>Pulv300L (Tr 45 cv)
LinhaNº130 (IHERA)</v>
      </c>
      <c r="B37" s="23">
        <f t="shared" si="15"/>
        <v>0</v>
      </c>
      <c r="C37" s="22">
        <f>+$C$33</f>
        <v>0</v>
      </c>
      <c r="D37" s="22">
        <f>+B37*C37</f>
        <v>0</v>
      </c>
      <c r="E37" s="22">
        <f>+$E$33</f>
        <v>0</v>
      </c>
      <c r="F37" s="22">
        <f t="shared" si="16"/>
        <v>0</v>
      </c>
      <c r="G37" s="32">
        <f>+$G$33</f>
        <v>0</v>
      </c>
      <c r="H37" s="22">
        <f>+$H$33</f>
        <v>0</v>
      </c>
      <c r="I37" s="22">
        <f t="shared" si="14"/>
        <v>0</v>
      </c>
      <c r="J37" s="31"/>
      <c r="K37" s="31"/>
      <c r="L37" s="31"/>
      <c r="M37" s="29"/>
    </row>
    <row r="38" spans="1:13" ht="22.8" x14ac:dyDescent="0.3">
      <c r="A38" s="100" t="str">
        <f t="shared" si="13"/>
        <v>PJP300L  (Tr 45 cv)
LinhaNº125 (IHERA)</v>
      </c>
      <c r="B38" s="23">
        <f t="shared" si="15"/>
        <v>0</v>
      </c>
      <c r="C38" s="22">
        <f t="shared" si="17"/>
        <v>0</v>
      </c>
      <c r="D38" s="22">
        <f t="shared" si="18"/>
        <v>0</v>
      </c>
      <c r="E38" s="22">
        <f t="shared" si="19"/>
        <v>0</v>
      </c>
      <c r="F38" s="22">
        <f t="shared" si="16"/>
        <v>0</v>
      </c>
      <c r="G38" s="32">
        <f t="shared" si="20"/>
        <v>0</v>
      </c>
      <c r="H38" s="22">
        <f t="shared" si="21"/>
        <v>0</v>
      </c>
      <c r="I38" s="22">
        <f t="shared" si="14"/>
        <v>0</v>
      </c>
      <c r="J38" s="31"/>
      <c r="K38" s="31"/>
      <c r="L38" s="31"/>
      <c r="M38" s="29"/>
    </row>
    <row r="39" spans="1:13" ht="22.8" x14ac:dyDescent="0.3">
      <c r="A39" s="98" t="str">
        <f t="shared" si="13"/>
        <v>Despontadora  (Tr 45 cv)
LinhaNº241 (IHERA)</v>
      </c>
      <c r="B39" s="23">
        <f t="shared" si="15"/>
        <v>0</v>
      </c>
      <c r="C39" s="22">
        <f t="shared" si="17"/>
        <v>0</v>
      </c>
      <c r="D39" s="22">
        <f t="shared" si="18"/>
        <v>0</v>
      </c>
      <c r="E39" s="22">
        <f t="shared" si="19"/>
        <v>0</v>
      </c>
      <c r="F39" s="22">
        <f t="shared" si="16"/>
        <v>0</v>
      </c>
      <c r="G39" s="32">
        <f t="shared" si="20"/>
        <v>0</v>
      </c>
      <c r="H39" s="22">
        <f t="shared" si="21"/>
        <v>0</v>
      </c>
      <c r="I39" s="22">
        <f t="shared" si="14"/>
        <v>0</v>
      </c>
      <c r="J39" s="31"/>
      <c r="K39" s="31"/>
      <c r="L39" s="31"/>
      <c r="M39" s="29"/>
    </row>
    <row r="40" spans="1:13" ht="22.8" x14ac:dyDescent="0.3">
      <c r="A40" s="100" t="str">
        <f t="shared" si="13"/>
        <v>Triturador de erva (Tr 45)
LinhaNº234 (IHERA)</v>
      </c>
      <c r="B40" s="23">
        <f t="shared" si="15"/>
        <v>0</v>
      </c>
      <c r="C40" s="22">
        <f>+$C$33</f>
        <v>0</v>
      </c>
      <c r="D40" s="22">
        <f t="shared" si="18"/>
        <v>0</v>
      </c>
      <c r="E40" s="22">
        <f>+$E$33</f>
        <v>0</v>
      </c>
      <c r="F40" s="22">
        <f t="shared" si="16"/>
        <v>0</v>
      </c>
      <c r="G40" s="32">
        <f>+$G$33</f>
        <v>0</v>
      </c>
      <c r="H40" s="22">
        <f>+$H$33</f>
        <v>0</v>
      </c>
      <c r="I40" s="22">
        <f t="shared" si="14"/>
        <v>0</v>
      </c>
      <c r="J40" s="31"/>
      <c r="K40" s="31"/>
      <c r="L40" s="31"/>
      <c r="M40" s="29"/>
    </row>
    <row r="41" spans="1:13" ht="22.8" x14ac:dyDescent="0.3">
      <c r="A41" s="100" t="str">
        <f t="shared" si="13"/>
        <v>Semi-R.4T kg  (Tr 53 cv)
LinhaNº173 (IHERA)</v>
      </c>
      <c r="B41" s="23">
        <f t="shared" si="15"/>
        <v>0</v>
      </c>
      <c r="C41" s="22">
        <f t="shared" si="17"/>
        <v>0</v>
      </c>
      <c r="D41" s="22">
        <f t="shared" si="18"/>
        <v>0</v>
      </c>
      <c r="E41" s="22">
        <f t="shared" si="19"/>
        <v>0</v>
      </c>
      <c r="F41" s="22">
        <f t="shared" si="16"/>
        <v>0</v>
      </c>
      <c r="G41" s="32">
        <f t="shared" si="20"/>
        <v>0</v>
      </c>
      <c r="H41" s="22">
        <f t="shared" si="21"/>
        <v>0</v>
      </c>
      <c r="I41" s="22">
        <f t="shared" si="14"/>
        <v>0</v>
      </c>
      <c r="J41" s="31"/>
      <c r="K41" s="31"/>
      <c r="L41" s="31"/>
      <c r="M41" s="29"/>
    </row>
    <row r="42" spans="1:13" ht="22.8" x14ac:dyDescent="0.3">
      <c r="A42" s="100" t="str">
        <f t="shared" si="13"/>
        <v>Semi-R. 4T  (Tr 45 cv)
LinhaNº173 (IHERA)</v>
      </c>
      <c r="B42" s="23">
        <f t="shared" si="15"/>
        <v>0</v>
      </c>
      <c r="C42" s="22">
        <f t="shared" si="17"/>
        <v>0</v>
      </c>
      <c r="D42" s="22">
        <f t="shared" si="18"/>
        <v>0</v>
      </c>
      <c r="E42" s="22">
        <f t="shared" si="19"/>
        <v>0</v>
      </c>
      <c r="F42" s="22">
        <f t="shared" si="16"/>
        <v>0</v>
      </c>
      <c r="G42" s="32">
        <f t="shared" si="20"/>
        <v>0</v>
      </c>
      <c r="H42" s="22">
        <f t="shared" si="21"/>
        <v>0</v>
      </c>
      <c r="I42" s="22">
        <f t="shared" si="14"/>
        <v>0</v>
      </c>
      <c r="J42" s="31"/>
      <c r="K42" s="31"/>
      <c r="L42" s="31"/>
      <c r="M42" s="29"/>
    </row>
    <row r="43" spans="1:13" ht="5.0999999999999996" customHeight="1" x14ac:dyDescent="0.3">
      <c r="A43" s="18"/>
      <c r="B43" s="11"/>
      <c r="C43" s="11"/>
      <c r="D43" s="11"/>
      <c r="E43" s="11"/>
      <c r="F43" s="14"/>
      <c r="G43" s="14"/>
      <c r="H43" s="14"/>
      <c r="I43" s="14"/>
      <c r="J43" s="14"/>
      <c r="K43" s="14"/>
      <c r="L43" s="14"/>
      <c r="M43" s="15"/>
    </row>
    <row r="44" spans="1:13" x14ac:dyDescent="0.3">
      <c r="A44" s="429" t="s">
        <v>57</v>
      </c>
      <c r="B44" s="26" t="s">
        <v>101</v>
      </c>
      <c r="C44" s="26" t="s">
        <v>102</v>
      </c>
      <c r="D44" s="27" t="s">
        <v>103</v>
      </c>
      <c r="E44" s="26" t="s">
        <v>104</v>
      </c>
      <c r="F44" s="27" t="s">
        <v>104</v>
      </c>
      <c r="G44" s="26" t="s">
        <v>105</v>
      </c>
      <c r="H44" s="26" t="s">
        <v>106</v>
      </c>
      <c r="I44" s="27" t="s">
        <v>107</v>
      </c>
      <c r="J44" s="26" t="s">
        <v>696</v>
      </c>
      <c r="K44" s="26" t="s">
        <v>696</v>
      </c>
      <c r="L44" s="411" t="s">
        <v>696</v>
      </c>
      <c r="M44" s="411" t="s">
        <v>726</v>
      </c>
    </row>
    <row r="45" spans="1:13" x14ac:dyDescent="0.3">
      <c r="A45" s="430"/>
      <c r="B45" s="26" t="s">
        <v>84</v>
      </c>
      <c r="C45" s="26" t="s">
        <v>27</v>
      </c>
      <c r="D45" s="27" t="s">
        <v>87</v>
      </c>
      <c r="E45" s="26" t="s">
        <v>71</v>
      </c>
      <c r="F45" s="27" t="s">
        <v>87</v>
      </c>
      <c r="G45" s="26" t="s">
        <v>87</v>
      </c>
      <c r="H45" s="26" t="s">
        <v>109</v>
      </c>
      <c r="I45" s="27" t="s">
        <v>87</v>
      </c>
      <c r="J45" s="26" t="s">
        <v>87</v>
      </c>
      <c r="K45" s="26" t="s">
        <v>88</v>
      </c>
      <c r="L45" s="411" t="s">
        <v>695</v>
      </c>
      <c r="M45" s="411" t="s">
        <v>695</v>
      </c>
    </row>
    <row r="46" spans="1:13" ht="22.8" x14ac:dyDescent="0.3">
      <c r="A46" s="16" t="str">
        <f t="shared" ref="A46:A55" si="22">+A33</f>
        <v>Prepodadora (Tr 53 cv)
LinhaNº232 (IHERA)</v>
      </c>
      <c r="B46" s="26">
        <v>0</v>
      </c>
      <c r="C46" s="26">
        <v>1E-3</v>
      </c>
      <c r="D46" s="22">
        <f>+B46/C46</f>
        <v>0</v>
      </c>
      <c r="E46" s="32">
        <f>+IHERA_Equip!J240</f>
        <v>0.04</v>
      </c>
      <c r="F46" s="22">
        <f t="shared" ref="F46:F55" si="23">B19*(E46/100)</f>
        <v>2</v>
      </c>
      <c r="G46" s="22">
        <f>+Dados!G36</f>
        <v>10</v>
      </c>
      <c r="H46" s="22">
        <v>0</v>
      </c>
      <c r="I46" s="22">
        <f>+G46*H46/100</f>
        <v>0</v>
      </c>
      <c r="J46" s="22">
        <f t="shared" ref="J46:J55" si="24">F33+I33+D46+F46+I46</f>
        <v>2</v>
      </c>
      <c r="K46" s="22">
        <f>+J46*H4</f>
        <v>4.166666666666667</v>
      </c>
      <c r="L46" s="28">
        <f>+J46*M4</f>
        <v>37.5</v>
      </c>
      <c r="M46" s="28">
        <f>+L19+L46</f>
        <v>687.50000000000011</v>
      </c>
    </row>
    <row r="47" spans="1:13" ht="22.8" x14ac:dyDescent="0.3">
      <c r="A47" s="16" t="str">
        <f t="shared" si="22"/>
        <v>Trit.de sarmentos (Tr 45 cv)
LinhaNº235 (IHERA)</v>
      </c>
      <c r="B47" s="26">
        <f t="shared" ref="B47:B53" si="25">+$B$46</f>
        <v>0</v>
      </c>
      <c r="C47" s="26">
        <f t="shared" ref="C47:C53" si="26">+$C$46</f>
        <v>1E-3</v>
      </c>
      <c r="D47" s="22">
        <f>+B47/C47</f>
        <v>0</v>
      </c>
      <c r="E47" s="32">
        <f>+IHERA_Equip!J243</f>
        <v>0.04</v>
      </c>
      <c r="F47" s="22">
        <f t="shared" si="23"/>
        <v>1</v>
      </c>
      <c r="G47" s="22">
        <f>+$G$46</f>
        <v>10</v>
      </c>
      <c r="H47" s="22">
        <f t="shared" ref="H47:H55" si="27">+$H$46</f>
        <v>0</v>
      </c>
      <c r="I47" s="22">
        <f>+G47*H47/100</f>
        <v>0</v>
      </c>
      <c r="J47" s="22">
        <f t="shared" si="24"/>
        <v>1</v>
      </c>
      <c r="K47" s="22">
        <f t="shared" ref="K47:K55" si="28">+J47*H5</f>
        <v>2.0833333333333335</v>
      </c>
      <c r="L47" s="28">
        <f t="shared" ref="L47:L55" si="29">+J47*M5</f>
        <v>18.75</v>
      </c>
      <c r="M47" s="28">
        <f t="shared" ref="M47:M55" si="30">+L20+L47</f>
        <v>343.75000000000006</v>
      </c>
    </row>
    <row r="48" spans="1:13" ht="22.8" x14ac:dyDescent="0.3">
      <c r="A48" s="16" t="str">
        <f t="shared" si="22"/>
        <v>Escarificador  (Tr 53 cv)
LinhaNº65 (IHERA)</v>
      </c>
      <c r="B48" s="26">
        <f t="shared" si="25"/>
        <v>0</v>
      </c>
      <c r="C48" s="26">
        <f t="shared" si="26"/>
        <v>1E-3</v>
      </c>
      <c r="D48" s="22">
        <f t="shared" ref="D48:D55" si="31">+B48/C48</f>
        <v>0</v>
      </c>
      <c r="E48" s="32">
        <f>+IHERA_Equip!J68</f>
        <v>7.0000000000000007E-2</v>
      </c>
      <c r="F48" s="22">
        <f t="shared" si="23"/>
        <v>0.47880000000000006</v>
      </c>
      <c r="G48" s="22">
        <f>+$G$46</f>
        <v>10</v>
      </c>
      <c r="H48" s="22">
        <f t="shared" si="27"/>
        <v>0</v>
      </c>
      <c r="I48" s="22">
        <f t="shared" ref="I48:I55" si="32">+G48*H48/100</f>
        <v>0</v>
      </c>
      <c r="J48" s="22">
        <f t="shared" si="24"/>
        <v>0.47880000000000006</v>
      </c>
      <c r="K48" s="22">
        <f t="shared" si="28"/>
        <v>1.2768000000000002</v>
      </c>
      <c r="L48" s="28">
        <f t="shared" si="29"/>
        <v>22.982400000000002</v>
      </c>
      <c r="M48" s="28">
        <f t="shared" si="30"/>
        <v>111.9024</v>
      </c>
    </row>
    <row r="49" spans="1:13" ht="22.8" x14ac:dyDescent="0.3">
      <c r="A49" s="96" t="str">
        <f t="shared" si="22"/>
        <v>Pulv400L (Tr 53 cv)
LinhaNº130 (IHERA)</v>
      </c>
      <c r="B49" s="26">
        <f t="shared" si="25"/>
        <v>0</v>
      </c>
      <c r="C49" s="26">
        <f t="shared" si="26"/>
        <v>1E-3</v>
      </c>
      <c r="D49" s="22">
        <f t="shared" si="31"/>
        <v>0</v>
      </c>
      <c r="E49" s="32">
        <f>+IHERA_Equip!J133</f>
        <v>0.08</v>
      </c>
      <c r="F49" s="22">
        <f t="shared" si="23"/>
        <v>3.6456000000000004</v>
      </c>
      <c r="G49" s="22">
        <f t="shared" ref="G49:G55" si="33">+$G$46</f>
        <v>10</v>
      </c>
      <c r="H49" s="22">
        <f t="shared" si="27"/>
        <v>0</v>
      </c>
      <c r="I49" s="22">
        <f t="shared" si="32"/>
        <v>0</v>
      </c>
      <c r="J49" s="22">
        <f t="shared" si="24"/>
        <v>3.6456000000000004</v>
      </c>
      <c r="K49" s="22">
        <f t="shared" si="28"/>
        <v>9.1140000000000008</v>
      </c>
      <c r="L49" s="28">
        <f t="shared" si="29"/>
        <v>273.42</v>
      </c>
      <c r="M49" s="28">
        <f t="shared" si="30"/>
        <v>668.36</v>
      </c>
    </row>
    <row r="50" spans="1:13" ht="22.8" x14ac:dyDescent="0.3">
      <c r="A50" s="96" t="str">
        <f t="shared" si="22"/>
        <v>Pulv300L (Tr 45 cv)
LinhaNº130 (IHERA)</v>
      </c>
      <c r="B50" s="26">
        <f t="shared" si="25"/>
        <v>0</v>
      </c>
      <c r="C50" s="26">
        <f t="shared" si="26"/>
        <v>1E-3</v>
      </c>
      <c r="D50" s="22">
        <f t="shared" si="31"/>
        <v>0</v>
      </c>
      <c r="E50" s="32">
        <f>+IHERA_Equip!J133</f>
        <v>0.08</v>
      </c>
      <c r="F50" s="22">
        <f t="shared" si="23"/>
        <v>3.6456000000000004</v>
      </c>
      <c r="G50" s="22">
        <f>+$G$46</f>
        <v>10</v>
      </c>
      <c r="H50" s="22">
        <f t="shared" si="27"/>
        <v>0</v>
      </c>
      <c r="I50" s="22">
        <f t="shared" si="32"/>
        <v>0</v>
      </c>
      <c r="J50" s="22">
        <f t="shared" si="24"/>
        <v>3.6456000000000004</v>
      </c>
      <c r="K50" s="22">
        <f t="shared" si="28"/>
        <v>9.1140000000000008</v>
      </c>
      <c r="L50" s="28">
        <f t="shared" si="29"/>
        <v>136.71</v>
      </c>
      <c r="M50" s="28">
        <f t="shared" si="30"/>
        <v>334.18</v>
      </c>
    </row>
    <row r="51" spans="1:13" ht="22.8" x14ac:dyDescent="0.3">
      <c r="A51" s="100" t="str">
        <f t="shared" si="22"/>
        <v>PJP300L  (Tr 45 cv)
LinhaNº125 (IHERA)</v>
      </c>
      <c r="B51" s="26">
        <f t="shared" si="25"/>
        <v>0</v>
      </c>
      <c r="C51" s="26">
        <f t="shared" si="26"/>
        <v>1E-3</v>
      </c>
      <c r="D51" s="22">
        <f t="shared" si="31"/>
        <v>0</v>
      </c>
      <c r="E51" s="32">
        <f>+IHERA_Equip!J128</f>
        <v>0.08</v>
      </c>
      <c r="F51" s="22">
        <f t="shared" si="23"/>
        <v>2.544</v>
      </c>
      <c r="G51" s="22">
        <f t="shared" si="33"/>
        <v>10</v>
      </c>
      <c r="H51" s="22">
        <f t="shared" si="27"/>
        <v>0</v>
      </c>
      <c r="I51" s="22">
        <f t="shared" si="32"/>
        <v>0</v>
      </c>
      <c r="J51" s="22">
        <f t="shared" si="24"/>
        <v>2.544</v>
      </c>
      <c r="K51" s="22">
        <f t="shared" si="28"/>
        <v>6.36</v>
      </c>
      <c r="L51" s="28">
        <f t="shared" si="29"/>
        <v>114.48</v>
      </c>
      <c r="M51" s="28">
        <f t="shared" si="30"/>
        <v>527.88</v>
      </c>
    </row>
    <row r="52" spans="1:13" ht="22.8" x14ac:dyDescent="0.3">
      <c r="A52" s="98" t="str">
        <f t="shared" si="22"/>
        <v>Despontadora  (Tr 45 cv)
LinhaNº241 (IHERA)</v>
      </c>
      <c r="B52" s="26">
        <f t="shared" si="25"/>
        <v>0</v>
      </c>
      <c r="C52" s="26">
        <f t="shared" si="26"/>
        <v>1E-3</v>
      </c>
      <c r="D52" s="22">
        <f t="shared" si="31"/>
        <v>0</v>
      </c>
      <c r="E52" s="32">
        <f>+IHERA_Equip!J241</f>
        <v>0.04</v>
      </c>
      <c r="F52" s="22">
        <f t="shared" si="23"/>
        <v>1.2</v>
      </c>
      <c r="G52" s="22">
        <f t="shared" si="33"/>
        <v>10</v>
      </c>
      <c r="H52" s="22">
        <f t="shared" si="27"/>
        <v>0</v>
      </c>
      <c r="I52" s="22">
        <f t="shared" si="32"/>
        <v>0</v>
      </c>
      <c r="J52" s="22">
        <f t="shared" si="24"/>
        <v>1.2</v>
      </c>
      <c r="K52" s="22">
        <f t="shared" si="28"/>
        <v>2.5</v>
      </c>
      <c r="L52" s="28">
        <f t="shared" si="29"/>
        <v>45</v>
      </c>
      <c r="M52" s="28">
        <f t="shared" si="30"/>
        <v>435</v>
      </c>
    </row>
    <row r="53" spans="1:13" ht="22.8" x14ac:dyDescent="0.3">
      <c r="A53" s="100" t="str">
        <f t="shared" si="22"/>
        <v>Triturador de erva (Tr 45)
LinhaNº234 (IHERA)</v>
      </c>
      <c r="B53" s="26">
        <f t="shared" si="25"/>
        <v>0</v>
      </c>
      <c r="C53" s="26">
        <f t="shared" si="26"/>
        <v>1E-3</v>
      </c>
      <c r="D53" s="22">
        <f t="shared" si="31"/>
        <v>0</v>
      </c>
      <c r="E53" s="32">
        <f>+IHERA_Equip!J242</f>
        <v>0.04</v>
      </c>
      <c r="F53" s="22">
        <f t="shared" si="23"/>
        <v>1</v>
      </c>
      <c r="G53" s="22">
        <f>+$G$46</f>
        <v>10</v>
      </c>
      <c r="H53" s="22">
        <f t="shared" si="27"/>
        <v>0</v>
      </c>
      <c r="I53" s="22">
        <f t="shared" si="32"/>
        <v>0</v>
      </c>
      <c r="J53" s="22">
        <f t="shared" si="24"/>
        <v>1</v>
      </c>
      <c r="K53" s="22">
        <f t="shared" si="28"/>
        <v>2.0833333333333335</v>
      </c>
      <c r="L53" s="28">
        <f t="shared" si="29"/>
        <v>37.5</v>
      </c>
      <c r="M53" s="28">
        <f t="shared" si="30"/>
        <v>362.50000000000006</v>
      </c>
    </row>
    <row r="54" spans="1:13" ht="22.8" x14ac:dyDescent="0.3">
      <c r="A54" s="100" t="str">
        <f t="shared" si="22"/>
        <v>Semi-R.4T kg  (Tr 53 cv)
LinhaNº173 (IHERA)</v>
      </c>
      <c r="B54" s="26">
        <f>+Dados!M33</f>
        <v>100</v>
      </c>
      <c r="C54" s="26">
        <f>+Dados!M34</f>
        <v>1000</v>
      </c>
      <c r="D54" s="22">
        <f t="shared" si="31"/>
        <v>0.1</v>
      </c>
      <c r="E54" s="32">
        <f>+IHERA_Equip!J176</f>
        <v>0.03</v>
      </c>
      <c r="F54" s="22">
        <f t="shared" si="23"/>
        <v>0.77279999999999993</v>
      </c>
      <c r="G54" s="22">
        <f t="shared" si="33"/>
        <v>10</v>
      </c>
      <c r="H54" s="22">
        <f t="shared" si="27"/>
        <v>0</v>
      </c>
      <c r="I54" s="22">
        <f t="shared" si="32"/>
        <v>0</v>
      </c>
      <c r="J54" s="22">
        <f t="shared" si="24"/>
        <v>0.87279999999999991</v>
      </c>
      <c r="K54" s="22">
        <f t="shared" si="28"/>
        <v>0</v>
      </c>
      <c r="L54" s="28">
        <f t="shared" si="29"/>
        <v>29.456999999999997</v>
      </c>
      <c r="M54" s="28">
        <f t="shared" si="30"/>
        <v>364.33699999999999</v>
      </c>
    </row>
    <row r="55" spans="1:13" ht="22.8" x14ac:dyDescent="0.3">
      <c r="A55" s="100" t="str">
        <f t="shared" si="22"/>
        <v>Semi-R. 4T  (Tr 45 cv)
LinhaNº173 (IHERA)</v>
      </c>
      <c r="B55" s="26">
        <f>+Dados!M33</f>
        <v>100</v>
      </c>
      <c r="C55" s="26">
        <f>+Dados!M34</f>
        <v>1000</v>
      </c>
      <c r="D55" s="22">
        <f t="shared" si="31"/>
        <v>0.1</v>
      </c>
      <c r="E55" s="32">
        <f>+IHERA_Equip!J176</f>
        <v>0.03</v>
      </c>
      <c r="F55" s="22">
        <f t="shared" si="23"/>
        <v>0.77279999999999993</v>
      </c>
      <c r="G55" s="22">
        <f t="shared" si="33"/>
        <v>10</v>
      </c>
      <c r="H55" s="22">
        <f t="shared" si="27"/>
        <v>0</v>
      </c>
      <c r="I55" s="22">
        <f t="shared" si="32"/>
        <v>0</v>
      </c>
      <c r="J55" s="22">
        <f t="shared" si="24"/>
        <v>0.87279999999999991</v>
      </c>
      <c r="K55" s="22">
        <f t="shared" si="28"/>
        <v>0</v>
      </c>
      <c r="L55" s="28">
        <f t="shared" si="29"/>
        <v>29.456999999999997</v>
      </c>
      <c r="M55" s="28">
        <f t="shared" si="30"/>
        <v>364.33699999999999</v>
      </c>
    </row>
    <row r="56" spans="1:13" ht="20.100000000000001" customHeight="1" x14ac:dyDescent="0.3">
      <c r="A56" s="335" t="s">
        <v>729</v>
      </c>
      <c r="L56" s="301">
        <f>SUM(L46:L55)</f>
        <v>745.25639999999999</v>
      </c>
      <c r="M56" s="301">
        <f>SUM(M46:M55)</f>
        <v>4199.7464</v>
      </c>
    </row>
    <row r="58" spans="1:13" x14ac:dyDescent="0.3">
      <c r="A58" s="429" t="s">
        <v>663</v>
      </c>
      <c r="B58" s="14" t="s">
        <v>552</v>
      </c>
      <c r="C58" s="427" t="s">
        <v>65</v>
      </c>
      <c r="D58" s="15" t="s">
        <v>66</v>
      </c>
      <c r="E58" s="412" t="s">
        <v>694</v>
      </c>
      <c r="F58" s="412" t="s">
        <v>696</v>
      </c>
      <c r="G58" s="412" t="s">
        <v>725</v>
      </c>
    </row>
    <row r="59" spans="1:13" x14ac:dyDescent="0.3">
      <c r="A59" s="430"/>
      <c r="B59" s="14" t="s">
        <v>114</v>
      </c>
      <c r="C59" s="428"/>
      <c r="D59" s="15" t="s">
        <v>73</v>
      </c>
      <c r="E59" s="412" t="s">
        <v>695</v>
      </c>
      <c r="F59" s="412" t="s">
        <v>695</v>
      </c>
      <c r="G59" s="412" t="s">
        <v>695</v>
      </c>
    </row>
    <row r="60" spans="1:13" ht="22.8" x14ac:dyDescent="0.3">
      <c r="A60" s="16" t="str">
        <f>+Dados!A19</f>
        <v>Trator 53 cv (39 kW)
LinhaNº4 (IHERA)</v>
      </c>
      <c r="B60" s="14">
        <f>+K4+K6+K7+K12</f>
        <v>175.5</v>
      </c>
      <c r="C60" s="11">
        <v>2</v>
      </c>
      <c r="D60" s="17">
        <f>+B60*C60</f>
        <v>351</v>
      </c>
      <c r="E60" s="302">
        <f>+B60*Cto_Trat!K10</f>
        <v>1235.125</v>
      </c>
      <c r="F60" s="302">
        <f>+B60*Cto_Trat!H44</f>
        <v>2664.57672</v>
      </c>
      <c r="G60" s="302">
        <f>+E60+F60</f>
        <v>3899.70172</v>
      </c>
    </row>
    <row r="61" spans="1:13" ht="22.8" x14ac:dyDescent="0.3">
      <c r="A61" s="16" t="str">
        <f>+Dados!A20</f>
        <v>Trator 45 cv (33 kW)
LinhaNº3 (IHERA)</v>
      </c>
      <c r="B61" s="14">
        <f>+K5+K8+K9++K10+K11+K13</f>
        <v>210</v>
      </c>
      <c r="C61" s="11">
        <v>2</v>
      </c>
      <c r="D61" s="17">
        <f>+B61*C61</f>
        <v>420</v>
      </c>
      <c r="E61" s="302">
        <f>+B61*Cto_Trat!K17</f>
        <v>1071.125</v>
      </c>
      <c r="F61" s="302">
        <f>+B61*Cto_Trat!H51</f>
        <v>3037.7759999999998</v>
      </c>
      <c r="G61" s="302">
        <f>+E61+F61</f>
        <v>4108.9009999999998</v>
      </c>
    </row>
    <row r="62" spans="1:13" x14ac:dyDescent="0.3">
      <c r="A62" s="18"/>
      <c r="B62" s="301">
        <f>+B60+B61</f>
        <v>385.5</v>
      </c>
      <c r="C62" s="14"/>
      <c r="D62" s="14">
        <f>+D60+D61</f>
        <v>771</v>
      </c>
      <c r="E62" s="301">
        <f>+E60+E61</f>
        <v>2306.25</v>
      </c>
      <c r="F62" s="301">
        <f>+F60+F61</f>
        <v>5702.3527199999999</v>
      </c>
      <c r="G62" s="302">
        <f>+E62+F62</f>
        <v>8008.6027199999999</v>
      </c>
    </row>
  </sheetData>
  <mergeCells count="9">
    <mergeCell ref="L2:L3"/>
    <mergeCell ref="A31:A32"/>
    <mergeCell ref="A44:A45"/>
    <mergeCell ref="B1:M1"/>
    <mergeCell ref="A58:A59"/>
    <mergeCell ref="I2:I3"/>
    <mergeCell ref="C58:C59"/>
    <mergeCell ref="B16:K16"/>
    <mergeCell ref="A17:A18"/>
  </mergeCells>
  <hyperlinks>
    <hyperlink ref="D2" location="Vel_Ec!A1" display="V.T."/>
    <hyperlink ref="F2" location="Vel_Ec!A1" display="E.C."/>
    <hyperlink ref="A1" location="Indice!A1" display="Índice"/>
  </hyperlinks>
  <printOptions horizontalCentered="1" gridLines="1"/>
  <pageMargins left="7.874015748031496E-2" right="7.874015748031496E-2" top="7.874015748031496E-2" bottom="7.874015748031496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14" sqref="D14"/>
    </sheetView>
  </sheetViews>
  <sheetFormatPr defaultColWidth="9.109375" defaultRowHeight="13.8" x14ac:dyDescent="0.3"/>
  <cols>
    <col min="1" max="1" width="27.44140625" style="332" customWidth="1"/>
    <col min="2" max="2" width="16.6640625" style="332" customWidth="1"/>
    <col min="3" max="3" width="21.109375" style="332" customWidth="1"/>
    <col min="4" max="4" width="14.33203125" style="332" customWidth="1"/>
    <col min="5" max="16384" width="9.109375" style="332"/>
  </cols>
  <sheetData>
    <row r="1" spans="1:4" ht="15" customHeight="1" x14ac:dyDescent="0.3">
      <c r="A1" s="399" t="s">
        <v>917</v>
      </c>
      <c r="B1" s="432" t="s">
        <v>880</v>
      </c>
      <c r="C1" s="428"/>
    </row>
    <row r="2" spans="1:4" ht="34.5" customHeight="1" x14ac:dyDescent="0.3">
      <c r="A2" s="394"/>
      <c r="B2" s="335" t="s">
        <v>882</v>
      </c>
      <c r="C2" s="335" t="s">
        <v>883</v>
      </c>
      <c r="D2" s="335" t="s">
        <v>889</v>
      </c>
    </row>
    <row r="3" spans="1:4" ht="30" customHeight="1" x14ac:dyDescent="0.3">
      <c r="A3" s="16" t="str">
        <f>+Dados!A41</f>
        <v>Prepodadora (Tr 53 cv)
LinhaNº232 (IHERA)</v>
      </c>
      <c r="B3" s="394">
        <f>+Potencias!J188</f>
        <v>53</v>
      </c>
      <c r="C3" s="394">
        <v>53</v>
      </c>
      <c r="D3" s="337">
        <f>+Cto_Eq!M4</f>
        <v>18.75</v>
      </c>
    </row>
    <row r="4" spans="1:4" ht="30" customHeight="1" x14ac:dyDescent="0.3">
      <c r="A4" s="16" t="str">
        <f>+Dados!A42</f>
        <v>Trit.de sarmentos (Tr 45 cv)
LinhaNº235 (IHERA)</v>
      </c>
      <c r="B4" s="394">
        <f>+Potencias!J174</f>
        <v>50</v>
      </c>
      <c r="C4" s="394">
        <v>50</v>
      </c>
      <c r="D4" s="337">
        <f>+Cto_Eq!M5</f>
        <v>18.75</v>
      </c>
    </row>
    <row r="5" spans="1:4" ht="30" customHeight="1" x14ac:dyDescent="0.3">
      <c r="A5" s="96" t="str">
        <f>+Dados!A43</f>
        <v>Escarificador  (Tr 53 cv)
LinhaNº65 (IHERA)</v>
      </c>
      <c r="B5" s="394">
        <f>+Potencias!J18</f>
        <v>52.8888888888889</v>
      </c>
      <c r="C5" s="394">
        <v>53</v>
      </c>
      <c r="D5" s="337">
        <f>+Cto_Eq!M6</f>
        <v>48</v>
      </c>
    </row>
    <row r="6" spans="1:4" ht="30" customHeight="1" x14ac:dyDescent="0.3">
      <c r="A6" s="96" t="str">
        <f>+Dados!A44</f>
        <v>Pulv400L (Tr 53 cv)
LinhaNº130 (IHERA)</v>
      </c>
      <c r="B6" s="394">
        <f>+Potencias!J110</f>
        <v>40</v>
      </c>
      <c r="C6" s="394">
        <v>45</v>
      </c>
      <c r="D6" s="337">
        <f>+Cto_Eq!M7</f>
        <v>75</v>
      </c>
    </row>
    <row r="7" spans="1:4" ht="30" customHeight="1" x14ac:dyDescent="0.3">
      <c r="A7" s="100" t="str">
        <f>+Dados!A45</f>
        <v>Pulv300L (Tr 45 cv)
LinhaNº130 (IHERA)</v>
      </c>
      <c r="B7" s="394">
        <f>+Potencias!J109</f>
        <v>30</v>
      </c>
      <c r="C7" s="394">
        <v>40</v>
      </c>
      <c r="D7" s="337">
        <f>+Cto_Eq!M8</f>
        <v>37.5</v>
      </c>
    </row>
    <row r="8" spans="1:4" ht="30" customHeight="1" x14ac:dyDescent="0.3">
      <c r="A8" s="98" t="str">
        <f>+Dados!A46</f>
        <v>PJP300L  (Tr 45 cv)
LinhaNº125 (IHERA)</v>
      </c>
      <c r="B8" s="394">
        <f>+Potencias!J109</f>
        <v>30</v>
      </c>
      <c r="C8" s="394">
        <v>40</v>
      </c>
      <c r="D8" s="337">
        <f>+Cto_Eq!M9</f>
        <v>45</v>
      </c>
    </row>
    <row r="9" spans="1:4" ht="30" customHeight="1" x14ac:dyDescent="0.3">
      <c r="A9" s="100" t="str">
        <f>+Dados!A47</f>
        <v>Despontadora  (Tr 45 cv)
LinhaNº241 (IHERA)</v>
      </c>
      <c r="B9" s="394">
        <f>+Potencias!J189</f>
        <v>45</v>
      </c>
      <c r="C9" s="394">
        <v>53</v>
      </c>
      <c r="D9" s="337">
        <f>+Cto_Eq!M10</f>
        <v>37.5</v>
      </c>
    </row>
    <row r="10" spans="1:4" ht="30" customHeight="1" x14ac:dyDescent="0.3">
      <c r="A10" s="100" t="str">
        <f>+Dados!A48</f>
        <v>Triturador de erva (Tr 45)
LinhaNº234 (IHERA)</v>
      </c>
      <c r="B10" s="394">
        <f>+Potencias!J174</f>
        <v>50</v>
      </c>
      <c r="C10" s="394">
        <v>53</v>
      </c>
      <c r="D10" s="337">
        <f>+Cto_Eq!M11</f>
        <v>37.5</v>
      </c>
    </row>
    <row r="11" spans="1:4" ht="30" customHeight="1" x14ac:dyDescent="0.3">
      <c r="A11" s="100" t="str">
        <f>+Dados!A49</f>
        <v>Semi-R.4T kg  (Tr 53 cv)
LinhaNº173 (IHERA)</v>
      </c>
      <c r="B11" s="394">
        <f>+Potencias!J178</f>
        <v>53</v>
      </c>
      <c r="C11" s="394">
        <v>53</v>
      </c>
      <c r="D11" s="337">
        <f>+Cto_Eq!M12</f>
        <v>33.75</v>
      </c>
    </row>
    <row r="12" spans="1:4" ht="30" customHeight="1" x14ac:dyDescent="0.3">
      <c r="A12" s="100" t="str">
        <f>+Dados!A50</f>
        <v>Semi-R. 4T  (Tr 45 cv)
LinhaNº173 (IHERA)</v>
      </c>
      <c r="B12" s="394">
        <f>+Potencias!J178</f>
        <v>53</v>
      </c>
      <c r="C12" s="394">
        <v>53</v>
      </c>
      <c r="D12" s="337">
        <f>+Cto_Eq!M13</f>
        <v>33.75</v>
      </c>
    </row>
    <row r="13" spans="1:4" s="336" customFormat="1" ht="30" customHeight="1" x14ac:dyDescent="0.3">
      <c r="A13" s="402" t="s">
        <v>918</v>
      </c>
      <c r="B13" s="394"/>
      <c r="C13" s="394"/>
      <c r="D13" s="404">
        <f>SUM(D3:D12)</f>
        <v>385.5</v>
      </c>
    </row>
    <row r="14" spans="1:4" ht="30" customHeight="1" x14ac:dyDescent="0.3">
      <c r="A14" s="403" t="s">
        <v>920</v>
      </c>
      <c r="B14" s="395"/>
      <c r="C14" s="291">
        <f>MAX(C3:C12)</f>
        <v>53</v>
      </c>
      <c r="D14" s="397">
        <f>+D3+D5+D6+D11</f>
        <v>175.5</v>
      </c>
    </row>
    <row r="15" spans="1:4" ht="30" customHeight="1" x14ac:dyDescent="0.3">
      <c r="A15" s="403" t="s">
        <v>921</v>
      </c>
      <c r="B15" s="395"/>
      <c r="C15" s="396">
        <v>45</v>
      </c>
      <c r="D15" s="397">
        <f>+D4+D7+D8+D9+D10+D12</f>
        <v>210</v>
      </c>
    </row>
    <row r="16" spans="1:4" ht="30" customHeight="1" x14ac:dyDescent="0.3">
      <c r="A16" s="402" t="s">
        <v>919</v>
      </c>
      <c r="B16" s="395"/>
      <c r="C16" s="394"/>
      <c r="D16" s="404">
        <f>+D14+D15</f>
        <v>385.5</v>
      </c>
    </row>
  </sheetData>
  <mergeCells count="1">
    <mergeCell ref="B1:C1"/>
  </mergeCells>
  <hyperlinks>
    <hyperlink ref="A1" location="Indice!A1" display="Índice"/>
  </hyperlinks>
  <printOptions horizontalCentered="1"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pane ySplit="1" topLeftCell="A56" activePane="bottomLeft" state="frozen"/>
      <selection pane="bottomLeft" activeCell="N79" sqref="N79"/>
    </sheetView>
  </sheetViews>
  <sheetFormatPr defaultRowHeight="13.8" x14ac:dyDescent="0.3"/>
  <cols>
    <col min="1" max="1" width="14.33203125" customWidth="1"/>
    <col min="2" max="2" width="6.5546875" customWidth="1"/>
    <col min="3" max="3" width="8.33203125" customWidth="1"/>
    <col min="4" max="4" width="9.44140625" customWidth="1"/>
    <col min="5" max="5" width="9.6640625" customWidth="1"/>
    <col min="6" max="6" width="10.109375" customWidth="1"/>
    <col min="7" max="7" width="8.6640625" customWidth="1"/>
    <col min="8" max="8" width="8.44140625" customWidth="1"/>
    <col min="9" max="10" width="9.6640625" customWidth="1"/>
    <col min="11" max="11" width="10.109375" customWidth="1"/>
  </cols>
  <sheetData>
    <row r="1" spans="1:11" ht="15.6" x14ac:dyDescent="0.3">
      <c r="A1" s="399" t="s">
        <v>917</v>
      </c>
      <c r="B1" s="438" t="s">
        <v>572</v>
      </c>
      <c r="C1" s="439"/>
      <c r="D1" s="439"/>
      <c r="E1" s="439"/>
      <c r="F1" s="439"/>
      <c r="G1" s="439"/>
      <c r="H1" s="439"/>
      <c r="I1" s="439"/>
      <c r="J1" s="439"/>
      <c r="K1" s="439"/>
    </row>
    <row r="2" spans="1:11" x14ac:dyDescent="0.3">
      <c r="A2" s="437" t="s">
        <v>110</v>
      </c>
      <c r="B2" s="435" t="s">
        <v>111</v>
      </c>
      <c r="C2" s="33" t="s">
        <v>110</v>
      </c>
      <c r="D2" s="34" t="s">
        <v>112</v>
      </c>
      <c r="E2" s="34" t="s">
        <v>77</v>
      </c>
      <c r="F2" s="34" t="s">
        <v>78</v>
      </c>
      <c r="G2" s="34" t="s">
        <v>79</v>
      </c>
      <c r="H2" s="34" t="s">
        <v>80</v>
      </c>
      <c r="I2" s="34" t="s">
        <v>81</v>
      </c>
      <c r="J2" s="34" t="s">
        <v>113</v>
      </c>
      <c r="K2" s="34" t="s">
        <v>83</v>
      </c>
    </row>
    <row r="3" spans="1:11" x14ac:dyDescent="0.3">
      <c r="A3" s="436"/>
      <c r="B3" s="436"/>
      <c r="C3" s="34" t="s">
        <v>114</v>
      </c>
      <c r="D3" s="34" t="s">
        <v>84</v>
      </c>
      <c r="E3" s="34" t="s">
        <v>86</v>
      </c>
      <c r="F3" s="34" t="s">
        <v>71</v>
      </c>
      <c r="G3" s="34" t="s">
        <v>71</v>
      </c>
      <c r="H3" s="34" t="s">
        <v>87</v>
      </c>
      <c r="I3" s="34" t="s">
        <v>87</v>
      </c>
      <c r="J3" s="34" t="s">
        <v>87</v>
      </c>
      <c r="K3" s="34" t="s">
        <v>87</v>
      </c>
    </row>
    <row r="4" spans="1:11" x14ac:dyDescent="0.3">
      <c r="A4" s="433" t="str">
        <f>+Dados!A19</f>
        <v>Trator 53 cv (39 kW)
LinhaNº4 (IHERA)</v>
      </c>
      <c r="B4" s="35">
        <f>+Dados!G24</f>
        <v>53</v>
      </c>
      <c r="C4" s="35">
        <v>100</v>
      </c>
      <c r="D4" s="35">
        <f>+Dados!G19</f>
        <v>24100</v>
      </c>
      <c r="E4" s="35">
        <f>+Dados!G25</f>
        <v>12</v>
      </c>
      <c r="F4" s="35">
        <f>+Dados!G27</f>
        <v>3</v>
      </c>
      <c r="G4" s="35">
        <f>+Dados!G28</f>
        <v>2</v>
      </c>
      <c r="H4" s="36">
        <f>(D4*0.9)/(C4*E4)</f>
        <v>18.074999999999999</v>
      </c>
      <c r="I4" s="36">
        <f>((D4*1.1)/(2*C4))*(F4/100)</f>
        <v>3.9765000000000001</v>
      </c>
      <c r="J4" s="36">
        <f>((D4*1.1)/(2*C4)*(G4/100))</f>
        <v>2.6510000000000002</v>
      </c>
      <c r="K4" s="37">
        <f>H4+I4+J4</f>
        <v>24.702500000000001</v>
      </c>
    </row>
    <row r="5" spans="1:11" x14ac:dyDescent="0.3">
      <c r="A5" s="434"/>
      <c r="B5" s="35">
        <f>+Dados!G24</f>
        <v>53</v>
      </c>
      <c r="C5" s="35">
        <v>200</v>
      </c>
      <c r="D5" s="35">
        <f>+Dados!G19</f>
        <v>24100</v>
      </c>
      <c r="E5" s="35">
        <f>+Dados!G25</f>
        <v>12</v>
      </c>
      <c r="F5" s="35">
        <f>+Dados!G27</f>
        <v>3</v>
      </c>
      <c r="G5" s="35">
        <f>+Dados!G28</f>
        <v>2</v>
      </c>
      <c r="H5" s="36">
        <f>(D5*0.9)/(C5*E5)</f>
        <v>9.0374999999999996</v>
      </c>
      <c r="I5" s="36">
        <f>((D5*1.1)/(2*C5))*(F5/100)</f>
        <v>1.9882500000000001</v>
      </c>
      <c r="J5" s="36">
        <f>((D5*1.1)/(2*C5)*(G5/100))</f>
        <v>1.3255000000000001</v>
      </c>
      <c r="K5" s="37">
        <f>H5+I5+J5</f>
        <v>12.35125</v>
      </c>
    </row>
    <row r="6" spans="1:11" ht="13.95" customHeight="1" x14ac:dyDescent="0.3">
      <c r="A6" s="434"/>
      <c r="B6" s="35">
        <f>+Dados!G24</f>
        <v>53</v>
      </c>
      <c r="C6" s="35">
        <v>300</v>
      </c>
      <c r="D6" s="35">
        <f>+Dados!G19</f>
        <v>24100</v>
      </c>
      <c r="E6" s="35">
        <f>+Dados!G25</f>
        <v>12</v>
      </c>
      <c r="F6" s="35">
        <f>+Dados!G27</f>
        <v>3</v>
      </c>
      <c r="G6" s="35">
        <f>+Dados!G28</f>
        <v>2</v>
      </c>
      <c r="H6" s="36">
        <f>(D6*0.9)/(C6*E6)</f>
        <v>6.0250000000000004</v>
      </c>
      <c r="I6" s="36">
        <f>((D6*1.1)/(2*C6))*(F6/100)</f>
        <v>1.3255000000000001</v>
      </c>
      <c r="J6" s="36">
        <f>((D6*1.1)/(2*C6)*(G6/100))</f>
        <v>0.88366666666666671</v>
      </c>
      <c r="K6" s="37">
        <f t="shared" ref="K6:K16" si="0">H6+I6+J6</f>
        <v>8.2341666666666669</v>
      </c>
    </row>
    <row r="7" spans="1:11" x14ac:dyDescent="0.3">
      <c r="A7" s="434"/>
      <c r="B7" s="35">
        <f>+Dados!G24</f>
        <v>53</v>
      </c>
      <c r="C7" s="35">
        <v>400</v>
      </c>
      <c r="D7" s="35">
        <f>+$D$6</f>
        <v>24100</v>
      </c>
      <c r="E7" s="35">
        <f>+$E$6</f>
        <v>12</v>
      </c>
      <c r="F7" s="35">
        <f>+$F$6</f>
        <v>3</v>
      </c>
      <c r="G7" s="35">
        <f>+$G$6</f>
        <v>2</v>
      </c>
      <c r="H7" s="36">
        <f t="shared" ref="H7:H16" si="1">(D7*0.9)/(C7*E7)</f>
        <v>4.5187499999999998</v>
      </c>
      <c r="I7" s="36">
        <f t="shared" ref="I7:I16" si="2">((D7*1.1)/(2*C7))*(F7/100)</f>
        <v>0.99412500000000004</v>
      </c>
      <c r="J7" s="36">
        <f t="shared" ref="J7:J16" si="3">((D7*1.1)/(2*C7)*(G7/100))</f>
        <v>0.66275000000000006</v>
      </c>
      <c r="K7" s="37">
        <f t="shared" si="0"/>
        <v>6.1756250000000001</v>
      </c>
    </row>
    <row r="8" spans="1:11" x14ac:dyDescent="0.3">
      <c r="A8" s="434"/>
      <c r="B8" s="35">
        <f>+Dados!G24</f>
        <v>53</v>
      </c>
      <c r="C8" s="35">
        <v>500</v>
      </c>
      <c r="D8" s="35">
        <f>+$D$6</f>
        <v>24100</v>
      </c>
      <c r="E8" s="35">
        <f>+$E$6</f>
        <v>12</v>
      </c>
      <c r="F8" s="35">
        <f>+$F$6</f>
        <v>3</v>
      </c>
      <c r="G8" s="35">
        <f>+$G$6</f>
        <v>2</v>
      </c>
      <c r="H8" s="36">
        <f t="shared" si="1"/>
        <v>3.6150000000000002</v>
      </c>
      <c r="I8" s="36">
        <f t="shared" si="2"/>
        <v>0.79530000000000012</v>
      </c>
      <c r="J8" s="36">
        <f t="shared" si="3"/>
        <v>0.53020000000000012</v>
      </c>
      <c r="K8" s="37">
        <f t="shared" si="0"/>
        <v>4.9405000000000001</v>
      </c>
    </row>
    <row r="9" spans="1:11" x14ac:dyDescent="0.3">
      <c r="A9" s="434"/>
      <c r="B9" s="35">
        <f>+Dados!G24</f>
        <v>53</v>
      </c>
      <c r="C9" s="35">
        <v>600</v>
      </c>
      <c r="D9" s="35">
        <f>+$D$6</f>
        <v>24100</v>
      </c>
      <c r="E9" s="35">
        <f>+$E$6</f>
        <v>12</v>
      </c>
      <c r="F9" s="35">
        <f>+$F$6</f>
        <v>3</v>
      </c>
      <c r="G9" s="35">
        <f>+$G$6</f>
        <v>2</v>
      </c>
      <c r="H9" s="36">
        <f t="shared" si="1"/>
        <v>3.0125000000000002</v>
      </c>
      <c r="I9" s="36">
        <f t="shared" si="2"/>
        <v>0.66275000000000006</v>
      </c>
      <c r="J9" s="36">
        <f t="shared" si="3"/>
        <v>0.44183333333333336</v>
      </c>
      <c r="K9" s="37">
        <f t="shared" si="0"/>
        <v>4.1170833333333334</v>
      </c>
    </row>
    <row r="10" spans="1:11" x14ac:dyDescent="0.3">
      <c r="A10" s="434"/>
      <c r="B10" s="151">
        <f>+Dados!G24</f>
        <v>53</v>
      </c>
      <c r="C10" s="151">
        <f>+Cto_Eq!D60</f>
        <v>351</v>
      </c>
      <c r="D10" s="151">
        <f>+$D$6</f>
        <v>24100</v>
      </c>
      <c r="E10" s="151">
        <f>+$E$6</f>
        <v>12</v>
      </c>
      <c r="F10" s="151">
        <f>+$F$6</f>
        <v>3</v>
      </c>
      <c r="G10" s="151">
        <f>+$G$6</f>
        <v>2</v>
      </c>
      <c r="H10" s="152">
        <f>(D10*0.9)/(C10*E10)</f>
        <v>5.1495726495726499</v>
      </c>
      <c r="I10" s="152">
        <f>((D10*1.1)/(2*C10))*(F10/100)</f>
        <v>1.1329059829059829</v>
      </c>
      <c r="J10" s="152">
        <f>((D10*1.1)/(2*C10)*(G10/100))</f>
        <v>0.75527065527065529</v>
      </c>
      <c r="K10" s="153">
        <f>H10+I10+J10</f>
        <v>7.0377492877492873</v>
      </c>
    </row>
    <row r="11" spans="1:11" s="38" customFormat="1" x14ac:dyDescent="0.3">
      <c r="A11" s="433" t="str">
        <f>+Dados!A20</f>
        <v>Trator 45 cv (33 kW)
LinhaNº3 (IHERA)</v>
      </c>
      <c r="B11" s="35">
        <f>+Dados!H24</f>
        <v>45</v>
      </c>
      <c r="C11" s="35">
        <v>100</v>
      </c>
      <c r="D11" s="35">
        <f>+Dados!G20</f>
        <v>20900</v>
      </c>
      <c r="E11" s="35">
        <f>+Dados!H25</f>
        <v>12</v>
      </c>
      <c r="F11" s="35">
        <f>+Dados!H27</f>
        <v>3</v>
      </c>
      <c r="G11" s="35">
        <f>+Dados!H28</f>
        <v>2</v>
      </c>
      <c r="H11" s="36">
        <f>(D11*0.9)/(C11*E11)</f>
        <v>15.675000000000001</v>
      </c>
      <c r="I11" s="36">
        <f>((D11*1.1)/(2*C11))*(F11/100)</f>
        <v>3.4485000000000006</v>
      </c>
      <c r="J11" s="36">
        <f>((D11*1.1)/(2*C11)*(G11/100))</f>
        <v>2.2990000000000004</v>
      </c>
      <c r="K11" s="37">
        <f>H11+I11+J11</f>
        <v>21.422499999999999</v>
      </c>
    </row>
    <row r="12" spans="1:11" s="38" customFormat="1" x14ac:dyDescent="0.3">
      <c r="A12" s="434"/>
      <c r="B12" s="35">
        <f>+Dados!H24</f>
        <v>45</v>
      </c>
      <c r="C12" s="35">
        <v>200</v>
      </c>
      <c r="D12" s="35">
        <f>+Dados!G20</f>
        <v>20900</v>
      </c>
      <c r="E12" s="35">
        <f>+Dados!H25</f>
        <v>12</v>
      </c>
      <c r="F12" s="35">
        <f>+Dados!H27</f>
        <v>3</v>
      </c>
      <c r="G12" s="35">
        <f>+Dados!H28</f>
        <v>2</v>
      </c>
      <c r="H12" s="36">
        <f>(D12*0.9)/(C12*E12)</f>
        <v>7.8375000000000004</v>
      </c>
      <c r="I12" s="36">
        <f>((D12*1.1)/(2*C12))*(F12/100)</f>
        <v>1.7242500000000003</v>
      </c>
      <c r="J12" s="36">
        <f>((D12*1.1)/(2*C12)*(G12/100))</f>
        <v>1.1495000000000002</v>
      </c>
      <c r="K12" s="37">
        <f>H12+I12+J12</f>
        <v>10.71125</v>
      </c>
    </row>
    <row r="13" spans="1:11" ht="13.95" customHeight="1" x14ac:dyDescent="0.3">
      <c r="A13" s="434"/>
      <c r="B13" s="35">
        <f>+Dados!H24</f>
        <v>45</v>
      </c>
      <c r="C13" s="35">
        <v>300</v>
      </c>
      <c r="D13" s="35">
        <f>+Dados!G20</f>
        <v>20900</v>
      </c>
      <c r="E13" s="35">
        <f>+Dados!H25</f>
        <v>12</v>
      </c>
      <c r="F13" s="35">
        <f>+Dados!H27</f>
        <v>3</v>
      </c>
      <c r="G13" s="35">
        <f>+Dados!H28</f>
        <v>2</v>
      </c>
      <c r="H13" s="36">
        <f t="shared" si="1"/>
        <v>5.2249999999999996</v>
      </c>
      <c r="I13" s="36">
        <f t="shared" si="2"/>
        <v>1.1495</v>
      </c>
      <c r="J13" s="36">
        <f t="shared" si="3"/>
        <v>0.76633333333333342</v>
      </c>
      <c r="K13" s="37">
        <f t="shared" si="0"/>
        <v>7.1408333333333331</v>
      </c>
    </row>
    <row r="14" spans="1:11" x14ac:dyDescent="0.3">
      <c r="A14" s="434"/>
      <c r="B14" s="35">
        <f>+Dados!H24</f>
        <v>45</v>
      </c>
      <c r="C14" s="35">
        <v>400</v>
      </c>
      <c r="D14" s="35">
        <f>+$D$13</f>
        <v>20900</v>
      </c>
      <c r="E14" s="35">
        <f>+$E$13</f>
        <v>12</v>
      </c>
      <c r="F14" s="35">
        <f>+$F$13</f>
        <v>3</v>
      </c>
      <c r="G14" s="35">
        <f>+$G$13</f>
        <v>2</v>
      </c>
      <c r="H14" s="36">
        <f t="shared" si="1"/>
        <v>3.9187500000000002</v>
      </c>
      <c r="I14" s="36">
        <f t="shared" si="2"/>
        <v>0.86212500000000014</v>
      </c>
      <c r="J14" s="36">
        <f t="shared" si="3"/>
        <v>0.57475000000000009</v>
      </c>
      <c r="K14" s="37">
        <f t="shared" si="0"/>
        <v>5.3556249999999999</v>
      </c>
    </row>
    <row r="15" spans="1:11" x14ac:dyDescent="0.3">
      <c r="A15" s="434"/>
      <c r="B15" s="35">
        <f>+Dados!H24</f>
        <v>45</v>
      </c>
      <c r="C15" s="35">
        <v>500</v>
      </c>
      <c r="D15" s="35">
        <f>+$D$13</f>
        <v>20900</v>
      </c>
      <c r="E15" s="35">
        <f>+$E$13</f>
        <v>12</v>
      </c>
      <c r="F15" s="35">
        <f>+$F$13</f>
        <v>3</v>
      </c>
      <c r="G15" s="35">
        <f>+$G$13</f>
        <v>2</v>
      </c>
      <c r="H15" s="36">
        <f t="shared" si="1"/>
        <v>3.1349999999999998</v>
      </c>
      <c r="I15" s="36">
        <f t="shared" si="2"/>
        <v>0.68969999999999998</v>
      </c>
      <c r="J15" s="36">
        <f t="shared" si="3"/>
        <v>0.45980000000000004</v>
      </c>
      <c r="K15" s="37">
        <f t="shared" si="0"/>
        <v>4.2845000000000004</v>
      </c>
    </row>
    <row r="16" spans="1:11" x14ac:dyDescent="0.3">
      <c r="A16" s="434"/>
      <c r="B16" s="35">
        <f>+Dados!H24</f>
        <v>45</v>
      </c>
      <c r="C16" s="35">
        <v>600</v>
      </c>
      <c r="D16" s="35">
        <f>+$D$13</f>
        <v>20900</v>
      </c>
      <c r="E16" s="35">
        <f>+$E$13</f>
        <v>12</v>
      </c>
      <c r="F16" s="35">
        <f>+$F$13</f>
        <v>3</v>
      </c>
      <c r="G16" s="35">
        <f>+$G$13</f>
        <v>2</v>
      </c>
      <c r="H16" s="36">
        <f t="shared" si="1"/>
        <v>2.6124999999999998</v>
      </c>
      <c r="I16" s="36">
        <f t="shared" si="2"/>
        <v>0.57474999999999998</v>
      </c>
      <c r="J16" s="36">
        <f t="shared" si="3"/>
        <v>0.38316666666666671</v>
      </c>
      <c r="K16" s="37">
        <f t="shared" si="0"/>
        <v>3.5704166666666666</v>
      </c>
    </row>
    <row r="17" spans="1:11" x14ac:dyDescent="0.3">
      <c r="A17" s="434"/>
      <c r="B17" s="151">
        <f>+Dados!H24</f>
        <v>45</v>
      </c>
      <c r="C17" s="151">
        <f>+Cto_Eq!D61</f>
        <v>420</v>
      </c>
      <c r="D17" s="151">
        <f>+$D$13</f>
        <v>20900</v>
      </c>
      <c r="E17" s="151">
        <f>+$E$13</f>
        <v>12</v>
      </c>
      <c r="F17" s="151">
        <f>+$F$13</f>
        <v>3</v>
      </c>
      <c r="G17" s="151">
        <f>+$G$13</f>
        <v>2</v>
      </c>
      <c r="H17" s="152">
        <f>(D17*0.9)/(C17*E17)</f>
        <v>3.7321428571428572</v>
      </c>
      <c r="I17" s="152">
        <f>((D17*1.1)/(2*C17))*(F17/100)</f>
        <v>0.82107142857142867</v>
      </c>
      <c r="J17" s="152">
        <f>((D17*1.1)/(2*C17)*(G17/100))</f>
        <v>0.54738095238095252</v>
      </c>
      <c r="K17" s="153">
        <f>H17+I17+J17</f>
        <v>5.100595238095238</v>
      </c>
    </row>
    <row r="18" spans="1:11" x14ac:dyDescent="0.3">
      <c r="A18" s="38"/>
      <c r="B18" s="38"/>
      <c r="C18" s="39"/>
      <c r="D18" s="35"/>
      <c r="E18" s="35"/>
      <c r="F18" s="35"/>
      <c r="G18" s="35"/>
      <c r="H18" s="35"/>
      <c r="I18" s="35"/>
      <c r="J18" s="35"/>
      <c r="K18" s="35"/>
    </row>
    <row r="19" spans="1:11" x14ac:dyDescent="0.3">
      <c r="B19" s="435" t="s">
        <v>111</v>
      </c>
      <c r="C19" s="34" t="s">
        <v>115</v>
      </c>
      <c r="D19" s="34" t="s">
        <v>116</v>
      </c>
      <c r="E19" s="34" t="s">
        <v>117</v>
      </c>
      <c r="F19" s="34" t="s">
        <v>118</v>
      </c>
      <c r="G19" s="34" t="s">
        <v>119</v>
      </c>
      <c r="H19" s="34" t="s">
        <v>120</v>
      </c>
      <c r="I19" s="34" t="s">
        <v>121</v>
      </c>
      <c r="J19" s="34" t="s">
        <v>122</v>
      </c>
      <c r="K19" s="34" t="s">
        <v>123</v>
      </c>
    </row>
    <row r="20" spans="1:11" x14ac:dyDescent="0.3">
      <c r="A20" s="264"/>
      <c r="B20" s="436"/>
      <c r="C20" s="34" t="s">
        <v>97</v>
      </c>
      <c r="D20" s="34" t="s">
        <v>99</v>
      </c>
      <c r="E20" s="34" t="s">
        <v>87</v>
      </c>
      <c r="F20" s="34" t="s">
        <v>100</v>
      </c>
      <c r="G20" s="34" t="s">
        <v>99</v>
      </c>
      <c r="H20" s="34" t="s">
        <v>87</v>
      </c>
      <c r="I20" s="34" t="s">
        <v>84</v>
      </c>
      <c r="J20" s="34" t="s">
        <v>27</v>
      </c>
      <c r="K20" s="34" t="s">
        <v>87</v>
      </c>
    </row>
    <row r="21" spans="1:11" ht="13.95" customHeight="1" x14ac:dyDescent="0.3">
      <c r="A21" s="433" t="str">
        <f>+A4</f>
        <v>Trator 53 cv (39 kW)
LinhaNº4 (IHERA)</v>
      </c>
      <c r="B21" s="35">
        <f>+B6</f>
        <v>53</v>
      </c>
      <c r="C21" s="36">
        <f>+Dados!G29</f>
        <v>0.1</v>
      </c>
      <c r="D21" s="36">
        <f>+Dados!G30</f>
        <v>0.36</v>
      </c>
      <c r="E21" s="36">
        <f>+C23*D23*$B$4</f>
        <v>1.9079999999999999</v>
      </c>
      <c r="F21" s="40">
        <f>+Dados!G31</f>
        <v>2E-3</v>
      </c>
      <c r="G21" s="36">
        <f>+Dados!G32</f>
        <v>2.74</v>
      </c>
      <c r="H21" s="36">
        <f t="shared" ref="H21:H34" si="4">+F21*G21*B4</f>
        <v>0.29044000000000003</v>
      </c>
      <c r="I21" s="35">
        <f>+Dados!G33</f>
        <v>1000</v>
      </c>
      <c r="J21" s="35">
        <f>+Dados!G34</f>
        <v>3000</v>
      </c>
      <c r="K21" s="36">
        <f>I21/J21</f>
        <v>0.33333333333333331</v>
      </c>
    </row>
    <row r="22" spans="1:11" x14ac:dyDescent="0.3">
      <c r="A22" s="434"/>
      <c r="B22" s="35">
        <f>+B6</f>
        <v>53</v>
      </c>
      <c r="C22" s="36">
        <f>+Dados!G29</f>
        <v>0.1</v>
      </c>
      <c r="D22" s="36">
        <f>+Dados!G30</f>
        <v>0.36</v>
      </c>
      <c r="E22" s="36">
        <f>+C23*D23*$B$4</f>
        <v>1.9079999999999999</v>
      </c>
      <c r="F22" s="40">
        <f>+Dados!G31</f>
        <v>2E-3</v>
      </c>
      <c r="G22" s="36">
        <f>+Dados!G32</f>
        <v>2.74</v>
      </c>
      <c r="H22" s="36">
        <f t="shared" si="4"/>
        <v>0.29044000000000003</v>
      </c>
      <c r="I22" s="35">
        <f>+Dados!G33</f>
        <v>1000</v>
      </c>
      <c r="J22" s="35">
        <f>+Dados!G34</f>
        <v>3000</v>
      </c>
      <c r="K22" s="36">
        <f>I22/J22</f>
        <v>0.33333333333333331</v>
      </c>
    </row>
    <row r="23" spans="1:11" ht="13.95" customHeight="1" x14ac:dyDescent="0.3">
      <c r="A23" s="434"/>
      <c r="B23" s="35">
        <f>+B6</f>
        <v>53</v>
      </c>
      <c r="C23" s="36">
        <f>+Dados!G29</f>
        <v>0.1</v>
      </c>
      <c r="D23" s="36">
        <f>+Dados!G30</f>
        <v>0.36</v>
      </c>
      <c r="E23" s="36">
        <f>+C23*D23*$B$4</f>
        <v>1.9079999999999999</v>
      </c>
      <c r="F23" s="40">
        <f>+Dados!G31</f>
        <v>2E-3</v>
      </c>
      <c r="G23" s="36">
        <f>+Dados!G32</f>
        <v>2.74</v>
      </c>
      <c r="H23" s="36">
        <f t="shared" si="4"/>
        <v>0.29044000000000003</v>
      </c>
      <c r="I23" s="35">
        <f>+Dados!G33</f>
        <v>1000</v>
      </c>
      <c r="J23" s="35">
        <f>+Dados!G34</f>
        <v>3000</v>
      </c>
      <c r="K23" s="36">
        <f>I23/J23</f>
        <v>0.33333333333333331</v>
      </c>
    </row>
    <row r="24" spans="1:11" x14ac:dyDescent="0.3">
      <c r="A24" s="434"/>
      <c r="B24" s="35">
        <f>+B7</f>
        <v>53</v>
      </c>
      <c r="C24" s="36">
        <f>+$C$23</f>
        <v>0.1</v>
      </c>
      <c r="D24" s="36">
        <f>+$D$23</f>
        <v>0.36</v>
      </c>
      <c r="E24" s="36">
        <f t="shared" ref="E24:E34" si="5">+C24*D24*B7</f>
        <v>1.9079999999999999</v>
      </c>
      <c r="F24" s="40">
        <f>+$F$23</f>
        <v>2E-3</v>
      </c>
      <c r="G24" s="36">
        <f>+$G$23</f>
        <v>2.74</v>
      </c>
      <c r="H24" s="36">
        <f t="shared" si="4"/>
        <v>0.29044000000000003</v>
      </c>
      <c r="I24" s="35">
        <f>+$I$23</f>
        <v>1000</v>
      </c>
      <c r="J24" s="35">
        <f>+$J$23</f>
        <v>3000</v>
      </c>
      <c r="K24" s="36">
        <f t="shared" ref="K24:K34" si="6">I24/J24</f>
        <v>0.33333333333333331</v>
      </c>
    </row>
    <row r="25" spans="1:11" x14ac:dyDescent="0.3">
      <c r="A25" s="434"/>
      <c r="B25" s="35">
        <f>+B8</f>
        <v>53</v>
      </c>
      <c r="C25" s="36">
        <f>+$C$23</f>
        <v>0.1</v>
      </c>
      <c r="D25" s="36">
        <f>+$D$23</f>
        <v>0.36</v>
      </c>
      <c r="E25" s="36">
        <f t="shared" si="5"/>
        <v>1.9079999999999999</v>
      </c>
      <c r="F25" s="40">
        <f>+$F$23</f>
        <v>2E-3</v>
      </c>
      <c r="G25" s="36">
        <f>+$G$23</f>
        <v>2.74</v>
      </c>
      <c r="H25" s="36">
        <f t="shared" si="4"/>
        <v>0.29044000000000003</v>
      </c>
      <c r="I25" s="35">
        <f>+$I$23</f>
        <v>1000</v>
      </c>
      <c r="J25" s="35">
        <f>+$J$23</f>
        <v>3000</v>
      </c>
      <c r="K25" s="36">
        <f t="shared" si="6"/>
        <v>0.33333333333333331</v>
      </c>
    </row>
    <row r="26" spans="1:11" x14ac:dyDescent="0.3">
      <c r="A26" s="434"/>
      <c r="B26" s="35">
        <f>+B9</f>
        <v>53</v>
      </c>
      <c r="C26" s="36">
        <f>+$C$23</f>
        <v>0.1</v>
      </c>
      <c r="D26" s="36">
        <f>+$D$23</f>
        <v>0.36</v>
      </c>
      <c r="E26" s="36">
        <f t="shared" si="5"/>
        <v>1.9079999999999999</v>
      </c>
      <c r="F26" s="40">
        <f>+$F$23</f>
        <v>2E-3</v>
      </c>
      <c r="G26" s="36">
        <f>+$G$23</f>
        <v>2.74</v>
      </c>
      <c r="H26" s="36">
        <f t="shared" si="4"/>
        <v>0.29044000000000003</v>
      </c>
      <c r="I26" s="35">
        <f>+$I$23</f>
        <v>1000</v>
      </c>
      <c r="J26" s="35">
        <f>+$J$23</f>
        <v>3000</v>
      </c>
      <c r="K26" s="36">
        <f t="shared" si="6"/>
        <v>0.33333333333333331</v>
      </c>
    </row>
    <row r="27" spans="1:11" x14ac:dyDescent="0.3">
      <c r="A27" s="434"/>
      <c r="B27" s="151">
        <f>+B10</f>
        <v>53</v>
      </c>
      <c r="C27" s="152">
        <f>+$C$23</f>
        <v>0.1</v>
      </c>
      <c r="D27" s="152">
        <f>+$D$23</f>
        <v>0.36</v>
      </c>
      <c r="E27" s="152">
        <f t="shared" si="5"/>
        <v>1.9079999999999999</v>
      </c>
      <c r="F27" s="266">
        <f>+$F$23</f>
        <v>2E-3</v>
      </c>
      <c r="G27" s="152">
        <f>+$G$23</f>
        <v>2.74</v>
      </c>
      <c r="H27" s="152">
        <f t="shared" si="4"/>
        <v>0.29044000000000003</v>
      </c>
      <c r="I27" s="151">
        <f>+$I$23</f>
        <v>1000</v>
      </c>
      <c r="J27" s="151">
        <f>+$J$23</f>
        <v>3000</v>
      </c>
      <c r="K27" s="152">
        <f t="shared" si="6"/>
        <v>0.33333333333333331</v>
      </c>
    </row>
    <row r="28" spans="1:11" x14ac:dyDescent="0.3">
      <c r="A28" s="433" t="str">
        <f>+A11</f>
        <v>Trator 45 cv (33 kW)
LinhaNº3 (IHERA)</v>
      </c>
      <c r="B28" s="35">
        <f>+B13</f>
        <v>45</v>
      </c>
      <c r="C28" s="36">
        <f>+Dados!H29</f>
        <v>0.1</v>
      </c>
      <c r="D28" s="36">
        <f>+Dados!H30</f>
        <v>0.36</v>
      </c>
      <c r="E28" s="36">
        <f t="shared" si="5"/>
        <v>1.6199999999999999</v>
      </c>
      <c r="F28" s="40">
        <f>+Dados!H31</f>
        <v>2E-3</v>
      </c>
      <c r="G28" s="36">
        <f>+Dados!H32</f>
        <v>2.74</v>
      </c>
      <c r="H28" s="36">
        <f t="shared" si="4"/>
        <v>0.24660000000000001</v>
      </c>
      <c r="I28" s="35">
        <f>+Dados!H33</f>
        <v>900</v>
      </c>
      <c r="J28" s="35">
        <f>+Dados!H34</f>
        <v>3000</v>
      </c>
      <c r="K28" s="36">
        <f t="shared" si="6"/>
        <v>0.3</v>
      </c>
    </row>
    <row r="29" spans="1:11" x14ac:dyDescent="0.3">
      <c r="A29" s="434"/>
      <c r="B29" s="35">
        <f>+B13</f>
        <v>45</v>
      </c>
      <c r="C29" s="36">
        <f>+Dados!H29</f>
        <v>0.1</v>
      </c>
      <c r="D29" s="36">
        <f>+Dados!H30</f>
        <v>0.36</v>
      </c>
      <c r="E29" s="36">
        <f t="shared" si="5"/>
        <v>1.6199999999999999</v>
      </c>
      <c r="F29" s="40">
        <f>+Dados!H31</f>
        <v>2E-3</v>
      </c>
      <c r="G29" s="36">
        <f>+Dados!H32</f>
        <v>2.74</v>
      </c>
      <c r="H29" s="36">
        <f t="shared" si="4"/>
        <v>0.24660000000000001</v>
      </c>
      <c r="I29" s="35">
        <f>+Dados!H33</f>
        <v>900</v>
      </c>
      <c r="J29" s="35">
        <f>+Dados!H34</f>
        <v>3000</v>
      </c>
      <c r="K29" s="36">
        <f t="shared" si="6"/>
        <v>0.3</v>
      </c>
    </row>
    <row r="30" spans="1:11" ht="13.95" customHeight="1" x14ac:dyDescent="0.3">
      <c r="A30" s="434"/>
      <c r="B30" s="35">
        <f>+B13</f>
        <v>45</v>
      </c>
      <c r="C30" s="36">
        <f>+Dados!H29</f>
        <v>0.1</v>
      </c>
      <c r="D30" s="36">
        <f>+Dados!H30</f>
        <v>0.36</v>
      </c>
      <c r="E30" s="36">
        <f t="shared" si="5"/>
        <v>1.6199999999999999</v>
      </c>
      <c r="F30" s="40">
        <f>+Dados!H31</f>
        <v>2E-3</v>
      </c>
      <c r="G30" s="36">
        <f>+Dados!H32</f>
        <v>2.74</v>
      </c>
      <c r="H30" s="36">
        <f t="shared" si="4"/>
        <v>0.24660000000000001</v>
      </c>
      <c r="I30" s="35">
        <f>+Dados!H33</f>
        <v>900</v>
      </c>
      <c r="J30" s="35">
        <f>+Dados!H34</f>
        <v>3000</v>
      </c>
      <c r="K30" s="36">
        <f t="shared" si="6"/>
        <v>0.3</v>
      </c>
    </row>
    <row r="31" spans="1:11" x14ac:dyDescent="0.3">
      <c r="A31" s="434"/>
      <c r="B31" s="35">
        <f>+B14</f>
        <v>45</v>
      </c>
      <c r="C31" s="36">
        <f>+$C$27</f>
        <v>0.1</v>
      </c>
      <c r="D31" s="36">
        <f>+$D$30</f>
        <v>0.36</v>
      </c>
      <c r="E31" s="36">
        <f t="shared" si="5"/>
        <v>1.6199999999999999</v>
      </c>
      <c r="F31" s="40">
        <f>+$F$30</f>
        <v>2E-3</v>
      </c>
      <c r="G31" s="36">
        <f>+$G$30</f>
        <v>2.74</v>
      </c>
      <c r="H31" s="36">
        <f t="shared" si="4"/>
        <v>0.24660000000000001</v>
      </c>
      <c r="I31" s="35">
        <f>+$I$30</f>
        <v>900</v>
      </c>
      <c r="J31" s="35">
        <f>+$J$30</f>
        <v>3000</v>
      </c>
      <c r="K31" s="36">
        <f t="shared" si="6"/>
        <v>0.3</v>
      </c>
    </row>
    <row r="32" spans="1:11" x14ac:dyDescent="0.3">
      <c r="A32" s="434"/>
      <c r="B32" s="35">
        <f>+B15</f>
        <v>45</v>
      </c>
      <c r="C32" s="36">
        <f>+$C$27</f>
        <v>0.1</v>
      </c>
      <c r="D32" s="36">
        <f>+$D$30</f>
        <v>0.36</v>
      </c>
      <c r="E32" s="36">
        <f t="shared" si="5"/>
        <v>1.6199999999999999</v>
      </c>
      <c r="F32" s="40">
        <f>+$F$30</f>
        <v>2E-3</v>
      </c>
      <c r="G32" s="36">
        <f>+$G$30</f>
        <v>2.74</v>
      </c>
      <c r="H32" s="36">
        <f t="shared" si="4"/>
        <v>0.24660000000000001</v>
      </c>
      <c r="I32" s="35">
        <f>+$I$30</f>
        <v>900</v>
      </c>
      <c r="J32" s="35">
        <f>+$J$30</f>
        <v>3000</v>
      </c>
      <c r="K32" s="36">
        <f t="shared" si="6"/>
        <v>0.3</v>
      </c>
    </row>
    <row r="33" spans="1:11" x14ac:dyDescent="0.3">
      <c r="A33" s="434"/>
      <c r="B33" s="35">
        <f>+B16</f>
        <v>45</v>
      </c>
      <c r="C33" s="36">
        <f>+$C$27</f>
        <v>0.1</v>
      </c>
      <c r="D33" s="36">
        <f>+$D$30</f>
        <v>0.36</v>
      </c>
      <c r="E33" s="36">
        <f t="shared" si="5"/>
        <v>1.6199999999999999</v>
      </c>
      <c r="F33" s="40">
        <f>+$F$30</f>
        <v>2E-3</v>
      </c>
      <c r="G33" s="36">
        <f>+$G$30</f>
        <v>2.74</v>
      </c>
      <c r="H33" s="36">
        <f t="shared" si="4"/>
        <v>0.24660000000000001</v>
      </c>
      <c r="I33" s="35">
        <f>+$I$30</f>
        <v>900</v>
      </c>
      <c r="J33" s="35">
        <f>+$J$30</f>
        <v>3000</v>
      </c>
      <c r="K33" s="36">
        <f t="shared" si="6"/>
        <v>0.3</v>
      </c>
    </row>
    <row r="34" spans="1:11" x14ac:dyDescent="0.3">
      <c r="A34" s="434"/>
      <c r="B34" s="151">
        <f>+B17</f>
        <v>45</v>
      </c>
      <c r="C34" s="152">
        <f>+$C$27</f>
        <v>0.1</v>
      </c>
      <c r="D34" s="152">
        <f>+$D$30</f>
        <v>0.36</v>
      </c>
      <c r="E34" s="152">
        <f t="shared" si="5"/>
        <v>1.6199999999999999</v>
      </c>
      <c r="F34" s="266">
        <f>+$F$30</f>
        <v>2E-3</v>
      </c>
      <c r="G34" s="152">
        <f>+$G$30</f>
        <v>2.74</v>
      </c>
      <c r="H34" s="152">
        <f t="shared" si="4"/>
        <v>0.24660000000000001</v>
      </c>
      <c r="I34" s="151">
        <f>+$I$30</f>
        <v>900</v>
      </c>
      <c r="J34" s="151">
        <f>+$J$30</f>
        <v>3000</v>
      </c>
      <c r="K34" s="152">
        <f t="shared" si="6"/>
        <v>0.3</v>
      </c>
    </row>
    <row r="35" spans="1:11" x14ac:dyDescent="0.3">
      <c r="A35" s="38"/>
      <c r="B35" s="38"/>
      <c r="C35" s="36"/>
      <c r="D35" s="36"/>
      <c r="E35" s="36"/>
      <c r="F35" s="40"/>
      <c r="G35" s="36"/>
      <c r="H35" s="36"/>
      <c r="I35" s="35"/>
      <c r="J35" s="35"/>
      <c r="K35" s="36"/>
    </row>
    <row r="36" spans="1:11" x14ac:dyDescent="0.3">
      <c r="A36" s="38"/>
      <c r="B36" s="435" t="s">
        <v>111</v>
      </c>
      <c r="C36" s="34" t="s">
        <v>104</v>
      </c>
      <c r="D36" s="34" t="s">
        <v>104</v>
      </c>
      <c r="E36" s="34" t="s">
        <v>124</v>
      </c>
      <c r="F36" s="34" t="s">
        <v>124</v>
      </c>
      <c r="G36" s="155" t="s">
        <v>125</v>
      </c>
      <c r="H36" s="34" t="s">
        <v>108</v>
      </c>
      <c r="I36" s="34"/>
      <c r="J36" s="41" t="s">
        <v>126</v>
      </c>
      <c r="K36" s="42" t="s">
        <v>127</v>
      </c>
    </row>
    <row r="37" spans="1:11" x14ac:dyDescent="0.3">
      <c r="A37" s="38"/>
      <c r="B37" s="436"/>
      <c r="C37" s="34" t="s">
        <v>71</v>
      </c>
      <c r="D37" s="34" t="s">
        <v>87</v>
      </c>
      <c r="E37" s="34" t="s">
        <v>128</v>
      </c>
      <c r="F37" s="34" t="s">
        <v>87</v>
      </c>
      <c r="G37" s="34" t="s">
        <v>87</v>
      </c>
      <c r="H37" s="34" t="s">
        <v>87</v>
      </c>
      <c r="I37" s="34"/>
      <c r="J37" s="43" t="s">
        <v>114</v>
      </c>
      <c r="K37" s="42" t="s">
        <v>87</v>
      </c>
    </row>
    <row r="38" spans="1:11" x14ac:dyDescent="0.3">
      <c r="A38" s="433" t="str">
        <f>+A4</f>
        <v>Trator 53 cv (39 kW)
LinhaNº4 (IHERA)</v>
      </c>
      <c r="B38" s="265">
        <f>+B6</f>
        <v>53</v>
      </c>
      <c r="C38" s="36">
        <f>+Dados!G35</f>
        <v>0.01</v>
      </c>
      <c r="D38" s="36">
        <f t="shared" ref="D38:D51" si="7">D4*(C38/100)</f>
        <v>2.41</v>
      </c>
      <c r="E38" s="35">
        <f>+Dados!G36</f>
        <v>10</v>
      </c>
      <c r="F38" s="36">
        <f>+D38*E38/100</f>
        <v>0.24100000000000002</v>
      </c>
      <c r="G38" s="44">
        <f>+Dados!G37</f>
        <v>10</v>
      </c>
      <c r="H38" s="37">
        <f t="shared" ref="H38:H51" si="8">E21+H21+K21+D38+F38+G38</f>
        <v>15.182773333333333</v>
      </c>
      <c r="I38" s="34"/>
      <c r="J38" s="43">
        <f t="shared" ref="J38:J43" si="9">+C4</f>
        <v>100</v>
      </c>
      <c r="K38" s="251">
        <f t="shared" ref="K38:K51" si="10">+K4+H38</f>
        <v>39.88527333333333</v>
      </c>
    </row>
    <row r="39" spans="1:11" x14ac:dyDescent="0.3">
      <c r="A39" s="441"/>
      <c r="B39" s="265">
        <f>+B6</f>
        <v>53</v>
      </c>
      <c r="C39" s="36">
        <f>+Dados!G35</f>
        <v>0.01</v>
      </c>
      <c r="D39" s="36">
        <f t="shared" si="7"/>
        <v>2.41</v>
      </c>
      <c r="E39" s="35">
        <f>+Dados!G36</f>
        <v>10</v>
      </c>
      <c r="F39" s="36">
        <f>+D39*E39/100</f>
        <v>0.24100000000000002</v>
      </c>
      <c r="G39" s="44">
        <f>+Dados!G37</f>
        <v>10</v>
      </c>
      <c r="H39" s="37">
        <f t="shared" si="8"/>
        <v>15.182773333333333</v>
      </c>
      <c r="I39" s="34"/>
      <c r="J39" s="43">
        <f t="shared" si="9"/>
        <v>200</v>
      </c>
      <c r="K39" s="251">
        <f t="shared" si="10"/>
        <v>27.534023333333334</v>
      </c>
    </row>
    <row r="40" spans="1:11" ht="13.95" customHeight="1" x14ac:dyDescent="0.3">
      <c r="A40" s="441"/>
      <c r="B40" s="35">
        <f>+B6</f>
        <v>53</v>
      </c>
      <c r="C40" s="36">
        <f>+Dados!G35</f>
        <v>0.01</v>
      </c>
      <c r="D40" s="36">
        <f t="shared" si="7"/>
        <v>2.41</v>
      </c>
      <c r="E40" s="35">
        <f>+Dados!G36</f>
        <v>10</v>
      </c>
      <c r="F40" s="36">
        <f>+D40*E40/100</f>
        <v>0.24100000000000002</v>
      </c>
      <c r="G40" s="44">
        <f>+Dados!G37</f>
        <v>10</v>
      </c>
      <c r="H40" s="37">
        <f t="shared" si="8"/>
        <v>15.182773333333333</v>
      </c>
      <c r="I40" s="36"/>
      <c r="J40" s="42">
        <f t="shared" si="9"/>
        <v>300</v>
      </c>
      <c r="K40" s="251">
        <f t="shared" si="10"/>
        <v>23.41694</v>
      </c>
    </row>
    <row r="41" spans="1:11" x14ac:dyDescent="0.3">
      <c r="A41" s="441"/>
      <c r="B41" s="35">
        <f>+B7</f>
        <v>53</v>
      </c>
      <c r="C41" s="36">
        <f>+$C$40</f>
        <v>0.01</v>
      </c>
      <c r="D41" s="36">
        <f t="shared" si="7"/>
        <v>2.41</v>
      </c>
      <c r="E41" s="35">
        <f>+$E$40</f>
        <v>10</v>
      </c>
      <c r="F41" s="36">
        <f t="shared" ref="F41:F51" si="11">+D41*E41/100</f>
        <v>0.24100000000000002</v>
      </c>
      <c r="G41" s="44">
        <f>+$G$40</f>
        <v>10</v>
      </c>
      <c r="H41" s="37">
        <f t="shared" si="8"/>
        <v>15.182773333333333</v>
      </c>
      <c r="I41" s="36"/>
      <c r="J41" s="42">
        <f t="shared" si="9"/>
        <v>400</v>
      </c>
      <c r="K41" s="251">
        <f t="shared" si="10"/>
        <v>21.358398333333334</v>
      </c>
    </row>
    <row r="42" spans="1:11" x14ac:dyDescent="0.3">
      <c r="A42" s="441"/>
      <c r="B42" s="35">
        <f>+B8</f>
        <v>53</v>
      </c>
      <c r="C42" s="36">
        <f>+$C$40</f>
        <v>0.01</v>
      </c>
      <c r="D42" s="36">
        <f t="shared" si="7"/>
        <v>2.41</v>
      </c>
      <c r="E42" s="35">
        <f>+$E$40</f>
        <v>10</v>
      </c>
      <c r="F42" s="36">
        <f t="shared" si="11"/>
        <v>0.24100000000000002</v>
      </c>
      <c r="G42" s="44">
        <f>+$G$40</f>
        <v>10</v>
      </c>
      <c r="H42" s="37">
        <f t="shared" si="8"/>
        <v>15.182773333333333</v>
      </c>
      <c r="I42" s="36"/>
      <c r="J42" s="42">
        <f t="shared" si="9"/>
        <v>500</v>
      </c>
      <c r="K42" s="251">
        <f t="shared" si="10"/>
        <v>20.123273333333334</v>
      </c>
    </row>
    <row r="43" spans="1:11" x14ac:dyDescent="0.3">
      <c r="A43" s="441"/>
      <c r="B43" s="35">
        <f>+B9</f>
        <v>53</v>
      </c>
      <c r="C43" s="36">
        <f>+$C$40</f>
        <v>0.01</v>
      </c>
      <c r="D43" s="36">
        <f t="shared" si="7"/>
        <v>2.41</v>
      </c>
      <c r="E43" s="35">
        <f>+$E$40</f>
        <v>10</v>
      </c>
      <c r="F43" s="36">
        <f t="shared" si="11"/>
        <v>0.24100000000000002</v>
      </c>
      <c r="G43" s="44">
        <f>+$G$40</f>
        <v>10</v>
      </c>
      <c r="H43" s="37">
        <f t="shared" si="8"/>
        <v>15.182773333333333</v>
      </c>
      <c r="I43" s="36"/>
      <c r="J43" s="42">
        <f t="shared" si="9"/>
        <v>600</v>
      </c>
      <c r="K43" s="251">
        <f t="shared" si="10"/>
        <v>19.299856666666667</v>
      </c>
    </row>
    <row r="44" spans="1:11" x14ac:dyDescent="0.3">
      <c r="A44" s="441"/>
      <c r="B44" s="151">
        <f>+B10</f>
        <v>53</v>
      </c>
      <c r="C44" s="152">
        <f>+$C$40</f>
        <v>0.01</v>
      </c>
      <c r="D44" s="152">
        <f t="shared" si="7"/>
        <v>2.41</v>
      </c>
      <c r="E44" s="152">
        <f>+$E$40</f>
        <v>10</v>
      </c>
      <c r="F44" s="152">
        <f t="shared" si="11"/>
        <v>0.24100000000000002</v>
      </c>
      <c r="G44" s="156">
        <f>+$G$40</f>
        <v>10</v>
      </c>
      <c r="H44" s="153">
        <f t="shared" si="8"/>
        <v>15.182773333333333</v>
      </c>
      <c r="I44" s="152"/>
      <c r="J44" s="154">
        <f>+Cto_Eq!D60</f>
        <v>351</v>
      </c>
      <c r="K44" s="252">
        <f t="shared" si="10"/>
        <v>22.220522621082623</v>
      </c>
    </row>
    <row r="45" spans="1:11" s="38" customFormat="1" x14ac:dyDescent="0.3">
      <c r="A45" s="433" t="str">
        <f>+A28</f>
        <v>Trator 45 cv (33 kW)
LinhaNº3 (IHERA)</v>
      </c>
      <c r="B45" s="35">
        <f>+B13</f>
        <v>45</v>
      </c>
      <c r="C45" s="36">
        <f>+Dados!H35</f>
        <v>0.01</v>
      </c>
      <c r="D45" s="36">
        <f t="shared" si="7"/>
        <v>2.0900000000000003</v>
      </c>
      <c r="E45" s="36">
        <f>+Dados!H36</f>
        <v>10</v>
      </c>
      <c r="F45" s="36">
        <f t="shared" si="11"/>
        <v>0.20900000000000002</v>
      </c>
      <c r="G45" s="44">
        <f>+Dados!H36</f>
        <v>10</v>
      </c>
      <c r="H45" s="37">
        <f t="shared" si="8"/>
        <v>14.4656</v>
      </c>
      <c r="I45" s="36"/>
      <c r="J45" s="42">
        <f t="shared" ref="J45:J50" si="12">+C11</f>
        <v>100</v>
      </c>
      <c r="K45" s="251">
        <f t="shared" si="10"/>
        <v>35.888100000000001</v>
      </c>
    </row>
    <row r="46" spans="1:11" s="38" customFormat="1" x14ac:dyDescent="0.3">
      <c r="A46" s="441"/>
      <c r="B46" s="35">
        <f>+B13</f>
        <v>45</v>
      </c>
      <c r="C46" s="36">
        <f>+Dados!H35</f>
        <v>0.01</v>
      </c>
      <c r="D46" s="36">
        <f t="shared" si="7"/>
        <v>2.0900000000000003</v>
      </c>
      <c r="E46" s="36">
        <f>+Dados!H36</f>
        <v>10</v>
      </c>
      <c r="F46" s="36">
        <f t="shared" si="11"/>
        <v>0.20900000000000002</v>
      </c>
      <c r="G46" s="44">
        <f>+Dados!H36</f>
        <v>10</v>
      </c>
      <c r="H46" s="37">
        <f t="shared" si="8"/>
        <v>14.4656</v>
      </c>
      <c r="I46" s="36"/>
      <c r="J46" s="42">
        <f t="shared" si="12"/>
        <v>200</v>
      </c>
      <c r="K46" s="251">
        <f t="shared" si="10"/>
        <v>25.176850000000002</v>
      </c>
    </row>
    <row r="47" spans="1:11" ht="13.95" customHeight="1" x14ac:dyDescent="0.3">
      <c r="A47" s="441"/>
      <c r="B47" s="35">
        <f>+B13</f>
        <v>45</v>
      </c>
      <c r="C47" s="36">
        <f>+Dados!H35</f>
        <v>0.01</v>
      </c>
      <c r="D47" s="36">
        <f t="shared" si="7"/>
        <v>2.0900000000000003</v>
      </c>
      <c r="E47" s="36">
        <f>+Dados!H36</f>
        <v>10</v>
      </c>
      <c r="F47" s="36">
        <f t="shared" si="11"/>
        <v>0.20900000000000002</v>
      </c>
      <c r="G47" s="44">
        <f>+Dados!H36</f>
        <v>10</v>
      </c>
      <c r="H47" s="37">
        <f t="shared" si="8"/>
        <v>14.4656</v>
      </c>
      <c r="I47" s="36"/>
      <c r="J47" s="42">
        <f t="shared" si="12"/>
        <v>300</v>
      </c>
      <c r="K47" s="251">
        <f t="shared" si="10"/>
        <v>21.606433333333335</v>
      </c>
    </row>
    <row r="48" spans="1:11" x14ac:dyDescent="0.3">
      <c r="A48" s="441"/>
      <c r="B48" s="35">
        <f>+B14</f>
        <v>45</v>
      </c>
      <c r="C48" s="36">
        <f>+$C$47</f>
        <v>0.01</v>
      </c>
      <c r="D48" s="36">
        <f t="shared" si="7"/>
        <v>2.0900000000000003</v>
      </c>
      <c r="E48" s="36">
        <f>+$E$47</f>
        <v>10</v>
      </c>
      <c r="F48" s="36">
        <f t="shared" si="11"/>
        <v>0.20900000000000002</v>
      </c>
      <c r="G48" s="44">
        <f>+$G$47</f>
        <v>10</v>
      </c>
      <c r="H48" s="37">
        <f t="shared" si="8"/>
        <v>14.4656</v>
      </c>
      <c r="I48" s="36"/>
      <c r="J48" s="42">
        <f t="shared" si="12"/>
        <v>400</v>
      </c>
      <c r="K48" s="251">
        <f t="shared" si="10"/>
        <v>19.821224999999998</v>
      </c>
    </row>
    <row r="49" spans="1:11" x14ac:dyDescent="0.3">
      <c r="A49" s="441"/>
      <c r="B49" s="35">
        <f>+B15</f>
        <v>45</v>
      </c>
      <c r="C49" s="36">
        <f>+$C$47</f>
        <v>0.01</v>
      </c>
      <c r="D49" s="36">
        <f t="shared" si="7"/>
        <v>2.0900000000000003</v>
      </c>
      <c r="E49" s="36">
        <f>+$E$47</f>
        <v>10</v>
      </c>
      <c r="F49" s="36">
        <f t="shared" si="11"/>
        <v>0.20900000000000002</v>
      </c>
      <c r="G49" s="44">
        <f>+$G$47</f>
        <v>10</v>
      </c>
      <c r="H49" s="37">
        <f t="shared" si="8"/>
        <v>14.4656</v>
      </c>
      <c r="I49" s="36"/>
      <c r="J49" s="42">
        <f t="shared" si="12"/>
        <v>500</v>
      </c>
      <c r="K49" s="251">
        <f t="shared" si="10"/>
        <v>18.7501</v>
      </c>
    </row>
    <row r="50" spans="1:11" x14ac:dyDescent="0.3">
      <c r="A50" s="441"/>
      <c r="B50" s="35">
        <f>+B16</f>
        <v>45</v>
      </c>
      <c r="C50" s="36">
        <f>+$C$47</f>
        <v>0.01</v>
      </c>
      <c r="D50" s="36">
        <f t="shared" si="7"/>
        <v>2.0900000000000003</v>
      </c>
      <c r="E50" s="36">
        <f>+$E$47</f>
        <v>10</v>
      </c>
      <c r="F50" s="36">
        <f t="shared" si="11"/>
        <v>0.20900000000000002</v>
      </c>
      <c r="G50" s="44">
        <f>+$G$47</f>
        <v>10</v>
      </c>
      <c r="H50" s="37">
        <f t="shared" si="8"/>
        <v>14.4656</v>
      </c>
      <c r="I50" s="36"/>
      <c r="J50" s="42">
        <f t="shared" si="12"/>
        <v>600</v>
      </c>
      <c r="K50" s="251">
        <f t="shared" si="10"/>
        <v>18.036016666666669</v>
      </c>
    </row>
    <row r="51" spans="1:11" x14ac:dyDescent="0.3">
      <c r="A51" s="441"/>
      <c r="B51" s="151">
        <f>+B17</f>
        <v>45</v>
      </c>
      <c r="C51" s="152">
        <f>+$C$47</f>
        <v>0.01</v>
      </c>
      <c r="D51" s="152">
        <f t="shared" si="7"/>
        <v>2.0900000000000003</v>
      </c>
      <c r="E51" s="152">
        <f>+$E$47</f>
        <v>10</v>
      </c>
      <c r="F51" s="152">
        <f t="shared" si="11"/>
        <v>0.20900000000000002</v>
      </c>
      <c r="G51" s="156">
        <f>+$G$47</f>
        <v>10</v>
      </c>
      <c r="H51" s="153">
        <f t="shared" si="8"/>
        <v>14.4656</v>
      </c>
      <c r="I51" s="152"/>
      <c r="J51" s="154">
        <f>+Cto_Eq!D61</f>
        <v>420</v>
      </c>
      <c r="K51" s="252">
        <f t="shared" si="10"/>
        <v>19.56619523809524</v>
      </c>
    </row>
    <row r="52" spans="1:11" x14ac:dyDescent="0.3">
      <c r="A52" s="38"/>
      <c r="B52" s="38"/>
      <c r="C52" s="35"/>
      <c r="D52" s="45"/>
      <c r="E52" s="35"/>
      <c r="F52" s="35"/>
      <c r="G52" s="45"/>
      <c r="H52" s="35"/>
      <c r="I52" s="35"/>
      <c r="J52" s="45"/>
      <c r="K52" s="34"/>
    </row>
    <row r="53" spans="1:11" ht="17.399999999999999" customHeight="1" x14ac:dyDescent="0.3">
      <c r="A53" s="440"/>
      <c r="B53" s="439"/>
      <c r="C53" s="439"/>
      <c r="D53" s="439"/>
      <c r="E53" s="439"/>
      <c r="F53" s="439"/>
      <c r="G53" s="439"/>
      <c r="H53" s="439"/>
      <c r="I53" s="439"/>
      <c r="J53" s="439"/>
      <c r="K53" s="439"/>
    </row>
    <row r="54" spans="1:11" x14ac:dyDescent="0.3">
      <c r="A54" s="34" t="s">
        <v>114</v>
      </c>
      <c r="B54" s="34" t="s">
        <v>87</v>
      </c>
      <c r="C54" s="39"/>
      <c r="D54" s="39"/>
      <c r="E54" s="35"/>
      <c r="F54" s="39"/>
      <c r="G54" s="46"/>
      <c r="H54" s="47"/>
      <c r="I54" s="47"/>
      <c r="J54" s="47"/>
      <c r="K54" s="48"/>
    </row>
    <row r="55" spans="1:11" x14ac:dyDescent="0.3">
      <c r="A55" s="35">
        <f t="shared" ref="A55:B60" si="13">+J38</f>
        <v>100</v>
      </c>
      <c r="B55" s="36">
        <f t="shared" si="13"/>
        <v>39.88527333333333</v>
      </c>
      <c r="C55" s="39"/>
      <c r="D55" s="39"/>
      <c r="E55" s="35"/>
      <c r="F55" s="39"/>
      <c r="G55" s="46"/>
      <c r="H55" s="47"/>
      <c r="I55" s="47"/>
      <c r="J55" s="47"/>
      <c r="K55" s="48"/>
    </row>
    <row r="56" spans="1:11" x14ac:dyDescent="0.3">
      <c r="A56" s="35">
        <f t="shared" si="13"/>
        <v>200</v>
      </c>
      <c r="B56" s="36">
        <f t="shared" si="13"/>
        <v>27.534023333333334</v>
      </c>
      <c r="C56" s="47"/>
      <c r="D56" s="39"/>
      <c r="E56" s="35"/>
      <c r="F56" s="39"/>
      <c r="G56" s="46"/>
      <c r="H56" s="47"/>
      <c r="I56" s="47"/>
      <c r="J56" s="47"/>
      <c r="K56" s="48"/>
    </row>
    <row r="57" spans="1:11" x14ac:dyDescent="0.3">
      <c r="A57" s="35">
        <f t="shared" si="13"/>
        <v>300</v>
      </c>
      <c r="B57" s="36">
        <f t="shared" si="13"/>
        <v>23.41694</v>
      </c>
      <c r="C57" s="47"/>
      <c r="D57" s="39"/>
      <c r="E57" s="35"/>
      <c r="F57" s="39"/>
      <c r="G57" s="46"/>
      <c r="H57" s="47"/>
      <c r="I57" s="47"/>
      <c r="J57" s="47"/>
      <c r="K57" s="48"/>
    </row>
    <row r="58" spans="1:11" x14ac:dyDescent="0.3">
      <c r="A58" s="35">
        <f t="shared" si="13"/>
        <v>400</v>
      </c>
      <c r="B58" s="36">
        <f t="shared" si="13"/>
        <v>21.358398333333334</v>
      </c>
      <c r="C58" s="47"/>
      <c r="D58" s="39"/>
      <c r="E58" s="35"/>
      <c r="F58" s="39"/>
      <c r="G58" s="46"/>
      <c r="H58" s="47"/>
      <c r="I58" s="47"/>
      <c r="J58" s="47"/>
      <c r="K58" s="48"/>
    </row>
    <row r="59" spans="1:11" x14ac:dyDescent="0.3">
      <c r="A59" s="35">
        <f t="shared" si="13"/>
        <v>500</v>
      </c>
      <c r="B59" s="36">
        <f t="shared" si="13"/>
        <v>20.123273333333334</v>
      </c>
      <c r="C59" s="47"/>
      <c r="D59" s="39"/>
      <c r="E59" s="35"/>
      <c r="F59" s="39"/>
      <c r="G59" s="46"/>
      <c r="H59" s="47"/>
      <c r="I59" s="47"/>
      <c r="J59" s="47"/>
      <c r="K59" s="48"/>
    </row>
    <row r="60" spans="1:11" x14ac:dyDescent="0.3">
      <c r="A60" s="35">
        <f t="shared" si="13"/>
        <v>600</v>
      </c>
      <c r="B60" s="36">
        <f t="shared" si="13"/>
        <v>19.299856666666667</v>
      </c>
      <c r="C60" s="47"/>
      <c r="D60" s="39"/>
      <c r="E60" s="35"/>
      <c r="F60" s="39"/>
      <c r="G60" s="46"/>
      <c r="H60" s="47"/>
      <c r="I60" s="47"/>
      <c r="J60" s="47"/>
      <c r="K60" s="48"/>
    </row>
    <row r="61" spans="1:11" x14ac:dyDescent="0.3">
      <c r="A61" s="35"/>
      <c r="B61" s="36"/>
      <c r="C61" s="47"/>
      <c r="D61" s="39"/>
      <c r="E61" s="35"/>
      <c r="F61" s="39"/>
      <c r="G61" s="46"/>
      <c r="H61" s="47"/>
      <c r="I61" s="47"/>
      <c r="J61" s="47"/>
      <c r="K61" s="48"/>
    </row>
    <row r="62" spans="1:11" x14ac:dyDescent="0.3">
      <c r="A62" s="34">
        <f>+J44</f>
        <v>351</v>
      </c>
      <c r="B62" s="37">
        <f>+K44</f>
        <v>22.220522621082623</v>
      </c>
      <c r="C62" s="47"/>
      <c r="D62" s="39"/>
      <c r="E62" s="35"/>
      <c r="F62" s="39"/>
      <c r="G62" s="46"/>
      <c r="H62" s="47"/>
      <c r="I62" s="47"/>
      <c r="J62" s="47"/>
      <c r="K62" s="48"/>
    </row>
    <row r="63" spans="1:11" x14ac:dyDescent="0.3">
      <c r="A63" s="38"/>
      <c r="B63" s="38"/>
      <c r="C63" s="49"/>
      <c r="D63" s="45"/>
      <c r="E63" s="45"/>
      <c r="F63" s="49"/>
      <c r="G63" s="49"/>
      <c r="H63" s="49"/>
      <c r="I63" s="49"/>
      <c r="J63" s="49"/>
      <c r="K63" s="49"/>
    </row>
    <row r="64" spans="1:11" x14ac:dyDescent="0.3">
      <c r="A64" s="38"/>
      <c r="B64" s="38"/>
      <c r="C64" s="49"/>
      <c r="D64" s="45"/>
      <c r="E64" s="45"/>
      <c r="F64" s="49"/>
      <c r="G64" s="49"/>
      <c r="H64" s="49"/>
      <c r="I64" s="49"/>
      <c r="J64" s="49"/>
      <c r="K64" s="49"/>
    </row>
    <row r="65" spans="1:11" x14ac:dyDescent="0.3">
      <c r="A65" s="38"/>
      <c r="B65" s="38"/>
      <c r="C65" s="49"/>
      <c r="D65" s="49"/>
      <c r="E65" s="49"/>
      <c r="F65" s="49"/>
      <c r="G65" s="49"/>
      <c r="H65" s="49"/>
      <c r="I65" s="49"/>
      <c r="J65" s="49"/>
      <c r="K65" s="49"/>
    </row>
    <row r="66" spans="1:11" x14ac:dyDescent="0.3">
      <c r="A66" s="38"/>
      <c r="B66" s="38"/>
      <c r="C66" s="49"/>
      <c r="D66" s="49"/>
      <c r="E66" s="49"/>
      <c r="F66" s="49"/>
      <c r="G66" s="49"/>
      <c r="H66" s="49"/>
      <c r="I66" s="49"/>
      <c r="J66" s="49"/>
      <c r="K66" s="49"/>
    </row>
    <row r="67" spans="1:11" x14ac:dyDescent="0.3">
      <c r="A67" s="38"/>
      <c r="B67" s="38"/>
      <c r="C67" s="49"/>
      <c r="D67" s="49"/>
      <c r="E67" s="49"/>
      <c r="F67" s="49"/>
      <c r="G67" s="49"/>
      <c r="H67" s="49"/>
      <c r="I67" s="49"/>
      <c r="J67" s="49"/>
      <c r="K67" s="49"/>
    </row>
    <row r="68" spans="1:11" x14ac:dyDescent="0.3">
      <c r="A68" s="38"/>
      <c r="B68" s="38"/>
      <c r="C68" s="49"/>
      <c r="D68" s="49"/>
      <c r="E68" s="49"/>
      <c r="F68" s="49"/>
      <c r="G68" s="49"/>
      <c r="H68" s="49"/>
      <c r="I68" s="49"/>
      <c r="J68" s="49"/>
      <c r="K68" s="49"/>
    </row>
    <row r="69" spans="1:11" x14ac:dyDescent="0.3">
      <c r="A69" s="38"/>
      <c r="B69" s="38"/>
      <c r="C69" s="49"/>
      <c r="D69" s="49"/>
      <c r="E69" s="49"/>
      <c r="F69" s="49"/>
      <c r="G69" s="49"/>
      <c r="H69" s="49"/>
      <c r="I69" s="49"/>
      <c r="J69" s="49"/>
      <c r="K69" s="49"/>
    </row>
    <row r="70" spans="1:11" x14ac:dyDescent="0.3">
      <c r="A70" s="38"/>
      <c r="B70" s="38"/>
      <c r="C70" s="49"/>
      <c r="D70" s="49"/>
      <c r="E70" s="49"/>
      <c r="F70" s="49"/>
      <c r="G70" s="49"/>
      <c r="H70" s="49"/>
      <c r="I70" s="49"/>
      <c r="J70" s="49"/>
      <c r="K70" s="49"/>
    </row>
    <row r="71" spans="1:11" x14ac:dyDescent="0.3">
      <c r="A71" s="38"/>
      <c r="B71" s="38"/>
      <c r="C71" s="49"/>
      <c r="D71" s="49"/>
      <c r="E71" s="49"/>
      <c r="F71" s="49"/>
      <c r="G71" s="49"/>
      <c r="H71" s="49"/>
      <c r="I71" s="49"/>
      <c r="J71" s="49"/>
      <c r="K71" s="49"/>
    </row>
    <row r="72" spans="1:11" x14ac:dyDescent="0.3">
      <c r="A72" s="38"/>
      <c r="B72" s="38"/>
      <c r="C72" s="263"/>
      <c r="D72" s="263"/>
      <c r="E72" s="263"/>
      <c r="F72" s="263"/>
      <c r="G72" s="263"/>
      <c r="H72" s="263"/>
      <c r="I72" s="263"/>
      <c r="J72" s="263"/>
      <c r="K72" s="263"/>
    </row>
    <row r="73" spans="1:11" x14ac:dyDescent="0.3">
      <c r="A73" s="38"/>
      <c r="B73" s="38"/>
    </row>
    <row r="74" spans="1:11" x14ac:dyDescent="0.3">
      <c r="A74" s="34" t="s">
        <v>114</v>
      </c>
      <c r="B74" s="34" t="s">
        <v>87</v>
      </c>
    </row>
    <row r="75" spans="1:11" x14ac:dyDescent="0.3">
      <c r="A75" s="35">
        <f t="shared" ref="A75:B80" si="14">+J45</f>
        <v>100</v>
      </c>
      <c r="B75" s="36">
        <f t="shared" si="14"/>
        <v>35.888100000000001</v>
      </c>
    </row>
    <row r="76" spans="1:11" x14ac:dyDescent="0.3">
      <c r="A76" s="35">
        <f t="shared" si="14"/>
        <v>200</v>
      </c>
      <c r="B76" s="36">
        <f t="shared" si="14"/>
        <v>25.176850000000002</v>
      </c>
    </row>
    <row r="77" spans="1:11" x14ac:dyDescent="0.3">
      <c r="A77" s="35">
        <f t="shared" si="14"/>
        <v>300</v>
      </c>
      <c r="B77" s="36">
        <f t="shared" si="14"/>
        <v>21.606433333333335</v>
      </c>
    </row>
    <row r="78" spans="1:11" x14ac:dyDescent="0.3">
      <c r="A78" s="35">
        <f t="shared" si="14"/>
        <v>400</v>
      </c>
      <c r="B78" s="36">
        <f t="shared" si="14"/>
        <v>19.821224999999998</v>
      </c>
    </row>
    <row r="79" spans="1:11" x14ac:dyDescent="0.3">
      <c r="A79" s="35">
        <f t="shared" si="14"/>
        <v>500</v>
      </c>
      <c r="B79" s="36">
        <f t="shared" si="14"/>
        <v>18.7501</v>
      </c>
    </row>
    <row r="80" spans="1:11" x14ac:dyDescent="0.3">
      <c r="A80" s="35">
        <f t="shared" si="14"/>
        <v>600</v>
      </c>
      <c r="B80" s="36">
        <f t="shared" si="14"/>
        <v>18.036016666666669</v>
      </c>
    </row>
    <row r="81" spans="1:2" x14ac:dyDescent="0.3">
      <c r="A81" s="35"/>
      <c r="B81" s="36"/>
    </row>
    <row r="82" spans="1:2" x14ac:dyDescent="0.3">
      <c r="A82" s="34">
        <f>+J51</f>
        <v>420</v>
      </c>
      <c r="B82" s="37">
        <f>+K51</f>
        <v>19.56619523809524</v>
      </c>
    </row>
  </sheetData>
  <mergeCells count="12">
    <mergeCell ref="A53:K53"/>
    <mergeCell ref="A45:A51"/>
    <mergeCell ref="A28:A34"/>
    <mergeCell ref="A4:A10"/>
    <mergeCell ref="A11:A17"/>
    <mergeCell ref="A38:A44"/>
    <mergeCell ref="A21:A27"/>
    <mergeCell ref="B19:B20"/>
    <mergeCell ref="A2:A3"/>
    <mergeCell ref="B2:B3"/>
    <mergeCell ref="B36:B37"/>
    <mergeCell ref="B1:K1"/>
  </mergeCells>
  <hyperlinks>
    <hyperlink ref="A1" location="Indice!A1" display="Índice"/>
  </hyperlinks>
  <printOptions horizontalCentered="1" gridLines="1"/>
  <pageMargins left="7.874015748031496E-2" right="7.874015748031496E-2" top="0.78740157480314965" bottom="7.874015748031496E-2" header="0.31496062992125984" footer="0.31496062992125984"/>
  <pageSetup paperSize="9" orientation="portrait" r:id="rId1"/>
  <rowBreaks count="1" manualBreakCount="1">
    <brk id="5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4"/>
  <sheetViews>
    <sheetView zoomScale="90" zoomScaleNormal="90" workbookViewId="0">
      <pane ySplit="2" topLeftCell="A3" activePane="bottomLeft" state="frozen"/>
      <selection pane="bottomLeft" activeCell="B5" sqref="B5"/>
    </sheetView>
  </sheetViews>
  <sheetFormatPr defaultColWidth="9.109375" defaultRowHeight="13.8" x14ac:dyDescent="0.3"/>
  <cols>
    <col min="1" max="1" width="23.33203125" style="1" customWidth="1"/>
    <col min="2" max="2" width="6.88671875" style="174" customWidth="1"/>
    <col min="3" max="3" width="6.33203125" style="181" customWidth="1"/>
    <col min="4" max="4" width="9.109375" style="111"/>
    <col min="5" max="5" width="9.109375" style="181"/>
    <col min="6" max="6" width="22.44140625" style="181" customWidth="1"/>
    <col min="7" max="7" width="6.88671875" style="10" customWidth="1"/>
    <col min="8" max="8" width="6.88671875" style="1" customWidth="1"/>
    <col min="9" max="9" width="7.33203125" style="1" customWidth="1"/>
    <col min="10" max="10" width="7.33203125" style="111" customWidth="1"/>
    <col min="11" max="14" width="9.109375" style="10"/>
    <col min="15" max="15" width="17.33203125" style="10" customWidth="1"/>
    <col min="16" max="16" width="7.44140625" style="6" customWidth="1"/>
    <col min="17" max="17" width="7.33203125" style="6" customWidth="1"/>
    <col min="18" max="18" width="9.109375" style="222"/>
    <col min="19" max="20" width="9.109375" style="111"/>
    <col min="21" max="21" width="9.109375" style="174"/>
    <col min="22" max="22" width="14.6640625" style="1" customWidth="1"/>
    <col min="23" max="23" width="10.33203125" style="111" customWidth="1"/>
    <col min="24" max="24" width="9.109375" style="7"/>
    <col min="25" max="25" width="10.44140625" style="174" customWidth="1"/>
    <col min="26" max="26" width="1.33203125" style="111" customWidth="1"/>
    <col min="27" max="27" width="11.109375" style="1" customWidth="1"/>
    <col min="28" max="28" width="15" style="111" customWidth="1"/>
    <col min="29" max="16384" width="9.109375" style="1"/>
  </cols>
  <sheetData>
    <row r="1" spans="1:249" ht="19.95" customHeight="1" x14ac:dyDescent="0.3">
      <c r="A1" s="448" t="s">
        <v>656</v>
      </c>
      <c r="B1" s="449"/>
      <c r="C1" s="449"/>
      <c r="D1" s="449"/>
      <c r="E1" s="399" t="s">
        <v>917</v>
      </c>
      <c r="F1" s="450" t="s">
        <v>24</v>
      </c>
      <c r="G1" s="451"/>
      <c r="H1" s="451"/>
      <c r="I1" s="451"/>
      <c r="J1" s="451"/>
      <c r="K1" s="451"/>
      <c r="L1" s="451"/>
      <c r="M1" s="451"/>
      <c r="N1" s="331"/>
      <c r="O1" s="450" t="s">
        <v>580</v>
      </c>
      <c r="P1" s="451"/>
      <c r="Q1" s="451"/>
      <c r="R1" s="316"/>
      <c r="S1" s="1"/>
      <c r="T1" s="1"/>
      <c r="U1" s="1"/>
      <c r="W1" s="1"/>
      <c r="X1" s="1"/>
      <c r="Y1" s="1"/>
      <c r="Z1" s="1"/>
      <c r="AB1" s="1"/>
    </row>
    <row r="2" spans="1:249" ht="19.95" customHeight="1" x14ac:dyDescent="0.3">
      <c r="A2" s="237" t="s">
        <v>655</v>
      </c>
      <c r="B2" s="233" t="s">
        <v>72</v>
      </c>
      <c r="C2" s="234" t="s">
        <v>28</v>
      </c>
      <c r="D2" s="307" t="s">
        <v>667</v>
      </c>
      <c r="E2" s="235" t="s">
        <v>700</v>
      </c>
      <c r="F2" s="236" t="s">
        <v>662</v>
      </c>
      <c r="G2" s="233" t="s">
        <v>72</v>
      </c>
      <c r="H2" s="234" t="s">
        <v>29</v>
      </c>
      <c r="I2" s="234" t="s">
        <v>30</v>
      </c>
      <c r="J2" s="234" t="s">
        <v>31</v>
      </c>
      <c r="K2" s="233" t="s">
        <v>647</v>
      </c>
      <c r="L2" s="233" t="s">
        <v>646</v>
      </c>
      <c r="M2" s="307" t="s">
        <v>667</v>
      </c>
      <c r="N2" s="235" t="s">
        <v>700</v>
      </c>
      <c r="O2" s="236" t="s">
        <v>663</v>
      </c>
      <c r="P2" s="234" t="s">
        <v>29</v>
      </c>
      <c r="Q2" s="234" t="s">
        <v>30</v>
      </c>
      <c r="R2" s="235" t="s">
        <v>700</v>
      </c>
      <c r="S2" s="1"/>
      <c r="T2" s="1"/>
      <c r="U2" s="1"/>
      <c r="W2" s="1"/>
      <c r="X2" s="1"/>
      <c r="Y2" s="1"/>
      <c r="Z2" s="1"/>
      <c r="AB2" s="1"/>
    </row>
    <row r="3" spans="1:249" ht="19.95" customHeight="1" x14ac:dyDescent="0.3">
      <c r="A3" s="444" t="s">
        <v>727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330"/>
    </row>
    <row r="4" spans="1:249" ht="30" customHeight="1" x14ac:dyDescent="0.3">
      <c r="A4" s="170" t="s">
        <v>657</v>
      </c>
      <c r="B4" s="3">
        <f>+Dados!N54*(Dados!G2/Dados!G4)</f>
        <v>358.51851851851853</v>
      </c>
      <c r="C4" s="229">
        <f>+Dados!M54</f>
        <v>5.6404958677685952</v>
      </c>
      <c r="D4" s="3">
        <f>+Dados!O54</f>
        <v>3033.3333333333335</v>
      </c>
      <c r="E4" s="3">
        <f>+Dados!K54*(Dados!G2/Dados!G4)</f>
        <v>18200</v>
      </c>
      <c r="F4" s="160" t="s">
        <v>553</v>
      </c>
      <c r="G4" s="3">
        <f>+Cto_Eq!J4</f>
        <v>2.0833333333333335</v>
      </c>
      <c r="H4" s="2">
        <f>+Dados!H41</f>
        <v>34.666666666666671</v>
      </c>
      <c r="I4" s="2">
        <f>+Dados!I41</f>
        <v>2</v>
      </c>
      <c r="J4" s="2">
        <f>+H4+I4</f>
        <v>36.666666666666671</v>
      </c>
      <c r="K4" s="220">
        <f>+G4*H4</f>
        <v>72.222222222222243</v>
      </c>
      <c r="L4" s="220">
        <f>+G4*I4</f>
        <v>4.166666666666667</v>
      </c>
      <c r="M4" s="2">
        <f>+K4+L4</f>
        <v>76.388888888888914</v>
      </c>
      <c r="N4" s="3">
        <f>+Cto_Eq!M46*(Dados!$G$2/Dados!$G$4)</f>
        <v>458.33333333333337</v>
      </c>
      <c r="O4" s="160" t="s">
        <v>515</v>
      </c>
      <c r="P4" s="6">
        <f>+Dados!H19</f>
        <v>7.0377492877492873</v>
      </c>
      <c r="Q4" s="6">
        <f>+Dados!I19</f>
        <v>15.182773333333333</v>
      </c>
      <c r="R4" s="3">
        <f>+Cto_Eq!G60*(Dados!G2/Dados!G4)</f>
        <v>2599.8011466666667</v>
      </c>
    </row>
    <row r="5" spans="1:249" s="178" customFormat="1" ht="30" customHeight="1" x14ac:dyDescent="0.3">
      <c r="A5" s="170" t="s">
        <v>658</v>
      </c>
      <c r="B5" s="3">
        <f>+Dados!N55*(Dados!G2/Dados!G4)</f>
        <v>537.77777777777771</v>
      </c>
      <c r="C5" s="2">
        <f>+Dados!M55</f>
        <v>4.8884297520661155</v>
      </c>
      <c r="D5" s="3">
        <f>+Dados!O55</f>
        <v>3943.3333333333335</v>
      </c>
      <c r="E5" s="3">
        <f>+Dados!K55*(Dados!G2/Dados!G4)</f>
        <v>23660</v>
      </c>
      <c r="F5" s="160" t="s">
        <v>576</v>
      </c>
      <c r="G5" s="3">
        <f>+Cto_Eq!J5</f>
        <v>2.0833333333333335</v>
      </c>
      <c r="H5" s="2">
        <f>+Dados!H42</f>
        <v>17.333333333333336</v>
      </c>
      <c r="I5" s="2">
        <f>+Dados!I42</f>
        <v>1</v>
      </c>
      <c r="J5" s="2">
        <f t="shared" ref="J5:J13" si="0">+H5+I5</f>
        <v>18.333333333333336</v>
      </c>
      <c r="K5" s="220">
        <f t="shared" ref="K5:K13" si="1">+G5*H5</f>
        <v>36.111111111111121</v>
      </c>
      <c r="L5" s="220">
        <f t="shared" ref="L5:L13" si="2">+G5*I5</f>
        <v>2.0833333333333335</v>
      </c>
      <c r="M5" s="2">
        <f t="shared" ref="M5:M13" si="3">+K5+L5</f>
        <v>38.194444444444457</v>
      </c>
      <c r="N5" s="3">
        <f>+Cto_Eq!M47*(Dados!$G$2/Dados!$G$4)</f>
        <v>229.16666666666669</v>
      </c>
      <c r="O5" s="160" t="s">
        <v>516</v>
      </c>
      <c r="P5" s="6">
        <f>+Dados!H20</f>
        <v>5.100595238095238</v>
      </c>
      <c r="Q5" s="6">
        <f>+Dados!I20</f>
        <v>14.4656</v>
      </c>
      <c r="R5" s="3">
        <f>+Cto_Eq!G61*(Dados!G2/Dados!G4)</f>
        <v>2739.2673333333332</v>
      </c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77"/>
      <c r="DY5" s="177"/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77"/>
      <c r="FO5" s="177"/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77"/>
      <c r="GJ5" s="177"/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77"/>
      <c r="HE5" s="177"/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77"/>
      <c r="HZ5" s="177"/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</row>
    <row r="6" spans="1:249" ht="30" customHeight="1" x14ac:dyDescent="0.3">
      <c r="A6" s="160"/>
      <c r="B6" s="3"/>
      <c r="F6" s="160" t="s">
        <v>554</v>
      </c>
      <c r="G6" s="3">
        <f>+Cto_Eq!J6</f>
        <v>5.333333333333333</v>
      </c>
      <c r="H6" s="2">
        <f>+Dados!H43</f>
        <v>1.8525</v>
      </c>
      <c r="I6" s="2">
        <f>+Dados!I43</f>
        <v>0.47880000000000006</v>
      </c>
      <c r="J6" s="2">
        <f t="shared" si="0"/>
        <v>2.3313000000000001</v>
      </c>
      <c r="K6" s="220">
        <f t="shared" si="1"/>
        <v>9.879999999999999</v>
      </c>
      <c r="L6" s="220">
        <f t="shared" si="2"/>
        <v>2.5536000000000003</v>
      </c>
      <c r="M6" s="2">
        <f t="shared" si="3"/>
        <v>12.433599999999998</v>
      </c>
      <c r="N6" s="3">
        <f>+Cto_Eq!M48*(Dados!$G$2/Dados!$G$4)</f>
        <v>74.601599999999991</v>
      </c>
      <c r="O6" s="160" t="s">
        <v>40</v>
      </c>
      <c r="R6" s="2"/>
    </row>
    <row r="7" spans="1:249" ht="30" customHeight="1" x14ac:dyDescent="0.3">
      <c r="A7" s="160" t="str">
        <f>+Dados!A56</f>
        <v>…</v>
      </c>
      <c r="B7" s="3"/>
      <c r="C7" s="2"/>
      <c r="D7" s="4"/>
      <c r="E7" s="4"/>
      <c r="F7" s="160" t="s">
        <v>557</v>
      </c>
      <c r="G7" s="3">
        <f>+Cto_Eq!J7</f>
        <v>12.5</v>
      </c>
      <c r="H7" s="2">
        <f>+Dados!H44</f>
        <v>5.2658666666666667</v>
      </c>
      <c r="I7" s="2">
        <f>+Dados!I44</f>
        <v>3.6456000000000004</v>
      </c>
      <c r="J7" s="2">
        <f t="shared" si="0"/>
        <v>8.9114666666666675</v>
      </c>
      <c r="K7" s="220">
        <f t="shared" si="1"/>
        <v>65.823333333333338</v>
      </c>
      <c r="L7" s="220">
        <f t="shared" si="2"/>
        <v>45.570000000000007</v>
      </c>
      <c r="M7" s="2">
        <f t="shared" si="3"/>
        <v>111.39333333333335</v>
      </c>
      <c r="N7" s="3">
        <f>+Cto_Eq!M49*(Dados!$G$2/Dados!$G$4)</f>
        <v>445.57333333333332</v>
      </c>
    </row>
    <row r="8" spans="1:249" ht="30" customHeight="1" x14ac:dyDescent="0.3">
      <c r="A8" s="162" t="s">
        <v>606</v>
      </c>
      <c r="B8" s="3">
        <f>SUM(B4:B7)</f>
        <v>896.2962962962963</v>
      </c>
      <c r="C8" s="4"/>
      <c r="D8" s="5">
        <f>SUM(D4:D7)</f>
        <v>6976.666666666667</v>
      </c>
      <c r="E8" s="5">
        <f>SUM(E4:E7)</f>
        <v>41860</v>
      </c>
      <c r="F8" s="160" t="s">
        <v>559</v>
      </c>
      <c r="G8" s="3">
        <f>+Cto_Eq!J8</f>
        <v>12.5</v>
      </c>
      <c r="H8" s="2">
        <f>+Dados!H45</f>
        <v>5.2658666666666667</v>
      </c>
      <c r="I8" s="2">
        <f>+Dados!I45</f>
        <v>3.6456000000000004</v>
      </c>
      <c r="J8" s="2">
        <f t="shared" si="0"/>
        <v>8.9114666666666675</v>
      </c>
      <c r="K8" s="220">
        <f t="shared" si="1"/>
        <v>65.823333333333338</v>
      </c>
      <c r="L8" s="220">
        <f t="shared" si="2"/>
        <v>45.570000000000007</v>
      </c>
      <c r="M8" s="2">
        <f t="shared" si="3"/>
        <v>111.39333333333335</v>
      </c>
      <c r="N8" s="3">
        <f>+Cto_Eq!M50*(Dados!$G$2/Dados!$G$4)</f>
        <v>222.78666666666666</v>
      </c>
      <c r="O8" s="2"/>
      <c r="P8" s="2"/>
      <c r="Q8" s="2"/>
      <c r="R8" s="3"/>
    </row>
    <row r="9" spans="1:249" ht="30" customHeight="1" x14ac:dyDescent="0.3">
      <c r="A9" s="176"/>
      <c r="B9" s="3"/>
      <c r="C9" s="4"/>
      <c r="D9" s="4"/>
      <c r="E9" s="4"/>
      <c r="F9" s="160" t="s">
        <v>535</v>
      </c>
      <c r="G9" s="3">
        <f>+Cto_Eq!J9</f>
        <v>5</v>
      </c>
      <c r="H9" s="2">
        <f>+Dados!H46</f>
        <v>9.1866666666666674</v>
      </c>
      <c r="I9" s="2">
        <f>+Dados!I46</f>
        <v>2.544</v>
      </c>
      <c r="J9" s="2">
        <f t="shared" si="0"/>
        <v>11.730666666666668</v>
      </c>
      <c r="K9" s="220">
        <f t="shared" si="1"/>
        <v>45.933333333333337</v>
      </c>
      <c r="L9" s="220">
        <f t="shared" si="2"/>
        <v>12.72</v>
      </c>
      <c r="M9" s="2">
        <f t="shared" si="3"/>
        <v>58.653333333333336</v>
      </c>
      <c r="N9" s="3">
        <f>+Cto_Eq!M51*(Dados!$G$2/Dados!$G$4)</f>
        <v>351.91999999999996</v>
      </c>
      <c r="O9" s="2"/>
      <c r="P9" s="2"/>
      <c r="Q9" s="2"/>
      <c r="R9" s="3"/>
    </row>
    <row r="10" spans="1:249" ht="30" customHeight="1" x14ac:dyDescent="0.3">
      <c r="A10" s="170" t="s">
        <v>659</v>
      </c>
      <c r="B10" s="3">
        <f>+Dados!G11</f>
        <v>125</v>
      </c>
      <c r="C10" s="4">
        <f>+Dados!G58</f>
        <v>10</v>
      </c>
      <c r="D10" s="4">
        <f>+B10*C10</f>
        <v>1250</v>
      </c>
      <c r="E10" s="4">
        <f>+Dados!M58*(Dados!G2/Dados!G4)</f>
        <v>7500</v>
      </c>
      <c r="F10" s="160" t="s">
        <v>577</v>
      </c>
      <c r="G10" s="3">
        <f>+Cto_Eq!J10</f>
        <v>4.166666666666667</v>
      </c>
      <c r="H10" s="2">
        <f>+Dados!H47</f>
        <v>10.4</v>
      </c>
      <c r="I10" s="2">
        <f>+Dados!I47</f>
        <v>1.2</v>
      </c>
      <c r="J10" s="2">
        <f t="shared" si="0"/>
        <v>11.6</v>
      </c>
      <c r="K10" s="220">
        <f t="shared" si="1"/>
        <v>43.333333333333336</v>
      </c>
      <c r="L10" s="220">
        <f t="shared" si="2"/>
        <v>5</v>
      </c>
      <c r="M10" s="2">
        <f t="shared" si="3"/>
        <v>48.333333333333336</v>
      </c>
      <c r="N10" s="3">
        <f>+Cto_Eq!M52*(Dados!$G$2/Dados!$G$4)</f>
        <v>290</v>
      </c>
      <c r="O10" s="2"/>
      <c r="P10" s="2"/>
      <c r="Q10" s="2"/>
      <c r="R10" s="3"/>
    </row>
    <row r="11" spans="1:249" ht="30" customHeight="1" x14ac:dyDescent="0.3">
      <c r="A11" s="170" t="s">
        <v>660</v>
      </c>
      <c r="B11" s="3">
        <f>+Dados!G12</f>
        <v>100</v>
      </c>
      <c r="C11" s="4">
        <f>+Dados!G61</f>
        <v>5</v>
      </c>
      <c r="D11" s="4">
        <f>+B11*C11</f>
        <v>500</v>
      </c>
      <c r="E11" s="4">
        <f>+Dados!M61*(Dados!G2/Dados!G4)</f>
        <v>3000</v>
      </c>
      <c r="F11" s="160" t="s">
        <v>567</v>
      </c>
      <c r="G11" s="3">
        <f>+Cto_Eq!J11</f>
        <v>4.166666666666667</v>
      </c>
      <c r="H11" s="2">
        <f>+Dados!H48</f>
        <v>8.6666666666666679</v>
      </c>
      <c r="I11" s="2">
        <f>+Dados!I48</f>
        <v>1</v>
      </c>
      <c r="J11" s="2">
        <f t="shared" si="0"/>
        <v>9.6666666666666679</v>
      </c>
      <c r="K11" s="220">
        <f t="shared" si="1"/>
        <v>36.111111111111121</v>
      </c>
      <c r="L11" s="220">
        <f t="shared" si="2"/>
        <v>4.166666666666667</v>
      </c>
      <c r="M11" s="2">
        <f t="shared" si="3"/>
        <v>40.277777777777786</v>
      </c>
      <c r="N11" s="3">
        <f>+Cto_Eq!M53*(Dados!$G$2/Dados!$G$4)</f>
        <v>241.66666666666669</v>
      </c>
      <c r="O11" s="2"/>
      <c r="P11" s="2"/>
      <c r="Q11" s="2"/>
      <c r="R11" s="3"/>
    </row>
    <row r="12" spans="1:249" ht="30" customHeight="1" x14ac:dyDescent="0.3">
      <c r="A12" s="170" t="s">
        <v>661</v>
      </c>
      <c r="B12" s="3">
        <f>+Dados!G10</f>
        <v>75</v>
      </c>
      <c r="C12" s="4">
        <f>+Dados!G61</f>
        <v>5</v>
      </c>
      <c r="D12" s="4">
        <f>+B12*C12</f>
        <v>375</v>
      </c>
      <c r="E12" s="4">
        <f>+Dados!M62*(Dados!G2/Dados!G4)</f>
        <v>2250</v>
      </c>
      <c r="F12" s="160" t="s">
        <v>536</v>
      </c>
      <c r="G12" s="3">
        <f>+Cal_Cult!AL12/Cal_Cult!B3</f>
        <v>3.75</v>
      </c>
      <c r="H12" s="2">
        <f>+Dados!H49</f>
        <v>9.9223703703703698</v>
      </c>
      <c r="I12" s="2">
        <f>+Dados!I49</f>
        <v>0.87279999999999991</v>
      </c>
      <c r="J12" s="2">
        <f t="shared" si="0"/>
        <v>10.79517037037037</v>
      </c>
      <c r="K12" s="220">
        <f t="shared" si="1"/>
        <v>37.208888888888886</v>
      </c>
      <c r="L12" s="220">
        <f t="shared" si="2"/>
        <v>3.2729999999999997</v>
      </c>
      <c r="M12" s="2">
        <f t="shared" si="3"/>
        <v>40.481888888888889</v>
      </c>
      <c r="N12" s="3">
        <f>+Cto_Eq!M54*(Dados!$G$2/Dados!$G$4)</f>
        <v>242.89133333333331</v>
      </c>
      <c r="O12" s="2"/>
      <c r="P12" s="2"/>
      <c r="Q12" s="2"/>
      <c r="R12" s="3"/>
    </row>
    <row r="13" spans="1:249" ht="30" customHeight="1" x14ac:dyDescent="0.3">
      <c r="A13" s="160" t="s">
        <v>40</v>
      </c>
      <c r="F13" s="160" t="s">
        <v>537</v>
      </c>
      <c r="G13" s="3">
        <f>+Cal_Cult!AL13/Cal_Cult!B3</f>
        <v>3.75</v>
      </c>
      <c r="H13" s="2">
        <f>+Dados!H50</f>
        <v>9.9223703703703698</v>
      </c>
      <c r="I13" s="2">
        <f>+Dados!I50</f>
        <v>0.87279999999999991</v>
      </c>
      <c r="J13" s="2">
        <f t="shared" si="0"/>
        <v>10.79517037037037</v>
      </c>
      <c r="K13" s="220">
        <f t="shared" si="1"/>
        <v>37.208888888888886</v>
      </c>
      <c r="L13" s="220">
        <f t="shared" si="2"/>
        <v>3.2729999999999997</v>
      </c>
      <c r="M13" s="2">
        <f t="shared" si="3"/>
        <v>40.481888888888889</v>
      </c>
      <c r="N13" s="3">
        <f>+Cto_Eq!M55*(Dados!$G$2/Dados!$G$4)</f>
        <v>242.89133333333331</v>
      </c>
      <c r="O13" s="2"/>
      <c r="P13" s="2"/>
      <c r="Q13" s="2"/>
      <c r="R13" s="3"/>
    </row>
    <row r="14" spans="1:249" ht="30" customHeight="1" x14ac:dyDescent="0.3">
      <c r="A14" s="160" t="str">
        <f>+Dados!A63</f>
        <v>…</v>
      </c>
      <c r="B14" s="3"/>
      <c r="C14" s="4"/>
      <c r="D14" s="4"/>
      <c r="E14" s="4"/>
      <c r="F14" s="105" t="s">
        <v>40</v>
      </c>
      <c r="G14" s="3"/>
      <c r="H14" s="2"/>
      <c r="I14" s="2"/>
      <c r="J14" s="2"/>
      <c r="K14" s="220"/>
      <c r="L14" s="220"/>
      <c r="M14" s="2"/>
      <c r="N14" s="3"/>
      <c r="O14" s="2"/>
      <c r="P14" s="2"/>
      <c r="Q14" s="2"/>
      <c r="R14" s="3"/>
    </row>
    <row r="15" spans="1:249" ht="30" customHeight="1" x14ac:dyDescent="0.3">
      <c r="A15" s="162" t="s">
        <v>607</v>
      </c>
      <c r="B15" s="219">
        <f>SUM(B10:B12)</f>
        <v>300</v>
      </c>
      <c r="C15" s="230"/>
      <c r="D15" s="173">
        <f>SUM(D10:D12)</f>
        <v>2125</v>
      </c>
      <c r="E15" s="173">
        <f>SUM(E10:E12)</f>
        <v>12750</v>
      </c>
      <c r="F15" s="200" t="s">
        <v>605</v>
      </c>
      <c r="G15" s="219">
        <f t="shared" ref="G15:N15" si="4">SUM(G4:G14)</f>
        <v>55.333333333333329</v>
      </c>
      <c r="H15" s="224">
        <f t="shared" si="4"/>
        <v>112.48230740740743</v>
      </c>
      <c r="I15" s="224">
        <f t="shared" si="4"/>
        <v>17.259600000000002</v>
      </c>
      <c r="J15" s="224">
        <f t="shared" si="4"/>
        <v>129.74190740740741</v>
      </c>
      <c r="K15" s="224">
        <f t="shared" si="4"/>
        <v>449.65555555555562</v>
      </c>
      <c r="L15" s="224">
        <f t="shared" si="4"/>
        <v>128.37626666666668</v>
      </c>
      <c r="M15" s="224">
        <f t="shared" si="4"/>
        <v>578.03182222222222</v>
      </c>
      <c r="N15" s="224">
        <f t="shared" si="4"/>
        <v>2799.8309333333332</v>
      </c>
      <c r="O15" s="162" t="s">
        <v>642</v>
      </c>
      <c r="P15" s="219"/>
      <c r="Q15" s="219"/>
      <c r="R15" s="157">
        <f>SUM(R4:R14)</f>
        <v>5339.0684799999999</v>
      </c>
    </row>
    <row r="16" spans="1:249" ht="10.199999999999999" customHeight="1" x14ac:dyDescent="0.3">
      <c r="A16" s="176"/>
      <c r="B16" s="3"/>
      <c r="C16" s="4"/>
      <c r="D16" s="4"/>
      <c r="E16" s="4"/>
      <c r="F16" s="4"/>
      <c r="G16" s="3"/>
      <c r="H16" s="4"/>
      <c r="I16" s="4"/>
      <c r="J16" s="4"/>
      <c r="K16" s="3"/>
      <c r="L16" s="3"/>
      <c r="M16" s="3"/>
      <c r="N16" s="3"/>
      <c r="O16" s="3"/>
      <c r="P16" s="2"/>
      <c r="Q16" s="2"/>
      <c r="R16" s="3"/>
      <c r="S16" s="181"/>
      <c r="T16" s="181"/>
      <c r="U16" s="189"/>
      <c r="W16" s="181"/>
      <c r="Y16" s="189"/>
      <c r="Z16" s="181"/>
      <c r="AB16" s="181"/>
    </row>
    <row r="17" spans="1:28" ht="30" customHeight="1" x14ac:dyDescent="0.3">
      <c r="A17" s="442" t="s">
        <v>728</v>
      </c>
      <c r="B17" s="443"/>
      <c r="C17" s="443"/>
      <c r="D17" s="443"/>
      <c r="E17" s="443"/>
      <c r="F17" s="443"/>
      <c r="G17" s="443"/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334"/>
    </row>
    <row r="18" spans="1:28" ht="39" customHeight="1" x14ac:dyDescent="0.3">
      <c r="A18" s="164" t="s">
        <v>657</v>
      </c>
      <c r="B18" s="3">
        <f>+Dados!N54*(Dados!G3/Dados!G4)</f>
        <v>179.25925925925927</v>
      </c>
      <c r="C18" s="2">
        <f>+Dados!M54</f>
        <v>5.6404958677685952</v>
      </c>
      <c r="D18" s="3">
        <f>+Dados!O54</f>
        <v>3033.3333333333335</v>
      </c>
      <c r="E18" s="3">
        <f>+Dados!K54*(Dados!G3/Dados!G4)</f>
        <v>9100</v>
      </c>
      <c r="F18" s="159" t="s">
        <v>553</v>
      </c>
      <c r="G18" s="3">
        <f>+Cal_Cult!AL37</f>
        <v>6.25</v>
      </c>
      <c r="H18" s="8">
        <f>+Dados!H41</f>
        <v>34.666666666666671</v>
      </c>
      <c r="I18" s="8">
        <f>+Dados!I41</f>
        <v>2</v>
      </c>
      <c r="J18" s="8">
        <f>+H18+I18</f>
        <v>36.666666666666671</v>
      </c>
      <c r="K18" s="220">
        <f t="shared" ref="K18:K27" si="5">+G18*H18</f>
        <v>216.66666666666669</v>
      </c>
      <c r="L18" s="220">
        <f t="shared" ref="L18:L27" si="6">+G18*I18</f>
        <v>12.5</v>
      </c>
      <c r="M18" s="2">
        <f t="shared" ref="M18:M27" si="7">+K18+L18</f>
        <v>229.16666666666669</v>
      </c>
      <c r="N18" s="3">
        <f>+Cto_Eq!M46*(Dados!$G$3/Dados!$G$4)</f>
        <v>229.16666666666669</v>
      </c>
      <c r="O18" s="159" t="s">
        <v>515</v>
      </c>
      <c r="P18" s="2">
        <f>+Dados!H19</f>
        <v>7.0377492877492873</v>
      </c>
      <c r="Q18" s="2">
        <f>+Dados!I19</f>
        <v>15.182773333333333</v>
      </c>
      <c r="R18" s="3">
        <f>+Cto_Eq!G60*(Dados!G3/Dados!G4)</f>
        <v>1299.9005733333333</v>
      </c>
    </row>
    <row r="19" spans="1:28" ht="40.5" customHeight="1" x14ac:dyDescent="0.3">
      <c r="A19" s="164" t="s">
        <v>658</v>
      </c>
      <c r="B19" s="3">
        <f>+Dados!N55*(Dados!G3/Dados!G4)</f>
        <v>268.88888888888886</v>
      </c>
      <c r="C19" s="2">
        <f>+Dados!M55</f>
        <v>4.8884297520661155</v>
      </c>
      <c r="D19" s="3">
        <f>+Dados!O55</f>
        <v>3943.3333333333335</v>
      </c>
      <c r="E19" s="3">
        <f>+Dados!K55*(Dados!G3/Dados!G4)</f>
        <v>11830</v>
      </c>
      <c r="F19" s="159" t="s">
        <v>576</v>
      </c>
      <c r="G19" s="3">
        <f>+Cal_Cult!AL38</f>
        <v>6.25</v>
      </c>
      <c r="H19" s="8">
        <f>+Dados!H42</f>
        <v>17.333333333333336</v>
      </c>
      <c r="I19" s="8">
        <f>+Dados!I42</f>
        <v>1</v>
      </c>
      <c r="J19" s="8">
        <f t="shared" ref="J19:J27" si="8">+H19+I19</f>
        <v>18.333333333333336</v>
      </c>
      <c r="K19" s="220">
        <f t="shared" si="5"/>
        <v>108.33333333333334</v>
      </c>
      <c r="L19" s="220">
        <f t="shared" si="6"/>
        <v>6.25</v>
      </c>
      <c r="M19" s="2">
        <f t="shared" si="7"/>
        <v>114.58333333333334</v>
      </c>
      <c r="N19" s="3">
        <f>+Cto_Eq!M47*(Dados!$G$3/Dados!$G$4)</f>
        <v>114.58333333333334</v>
      </c>
      <c r="O19" s="159" t="s">
        <v>516</v>
      </c>
      <c r="P19" s="2">
        <f>+Dados!H20</f>
        <v>5.100595238095238</v>
      </c>
      <c r="Q19" s="2">
        <f>+Dados!I20</f>
        <v>14.4656</v>
      </c>
      <c r="R19" s="3">
        <f>+Cto_Eq!G61*(Dados!G3/Dados!G4)</f>
        <v>1369.6336666666666</v>
      </c>
    </row>
    <row r="20" spans="1:28" ht="30" customHeight="1" x14ac:dyDescent="0.3">
      <c r="A20" s="159"/>
      <c r="B20" s="3"/>
      <c r="F20" s="159" t="s">
        <v>554</v>
      </c>
      <c r="G20" s="3">
        <f>+Cal_Cult!AL39</f>
        <v>16</v>
      </c>
      <c r="H20" s="8">
        <f>+Dados!H43</f>
        <v>1.8525</v>
      </c>
      <c r="I20" s="8">
        <f>+Dados!I43</f>
        <v>0.47880000000000006</v>
      </c>
      <c r="J20" s="8">
        <f t="shared" si="8"/>
        <v>2.3313000000000001</v>
      </c>
      <c r="K20" s="220">
        <f t="shared" si="5"/>
        <v>29.64</v>
      </c>
      <c r="L20" s="220">
        <f t="shared" si="6"/>
        <v>7.6608000000000009</v>
      </c>
      <c r="M20" s="2">
        <f t="shared" si="7"/>
        <v>37.300800000000002</v>
      </c>
      <c r="N20" s="3">
        <f>+Cto_Eq!M48*(Dados!$G$3/Dados!$G$4)</f>
        <v>37.300799999999995</v>
      </c>
      <c r="O20" s="159" t="s">
        <v>40</v>
      </c>
      <c r="P20" s="2"/>
      <c r="Q20" s="2"/>
      <c r="R20" s="3"/>
    </row>
    <row r="21" spans="1:28" ht="30" customHeight="1" x14ac:dyDescent="0.3">
      <c r="A21" s="159" t="str">
        <f>+Dados!A56</f>
        <v>…</v>
      </c>
      <c r="B21" s="3"/>
      <c r="C21" s="4"/>
      <c r="D21" s="4"/>
      <c r="E21" s="4"/>
      <c r="F21" s="159" t="s">
        <v>557</v>
      </c>
      <c r="G21" s="3">
        <f>+Cal_Cult!AL40</f>
        <v>0</v>
      </c>
      <c r="H21" s="8">
        <f>+Dados!H44</f>
        <v>5.2658666666666667</v>
      </c>
      <c r="I21" s="8">
        <f>+Dados!I44</f>
        <v>3.6456000000000004</v>
      </c>
      <c r="J21" s="8">
        <f t="shared" si="8"/>
        <v>8.9114666666666675</v>
      </c>
      <c r="K21" s="220">
        <f t="shared" si="5"/>
        <v>0</v>
      </c>
      <c r="L21" s="220">
        <f t="shared" si="6"/>
        <v>0</v>
      </c>
      <c r="M21" s="2">
        <f t="shared" si="7"/>
        <v>0</v>
      </c>
      <c r="N21" s="3">
        <f>+Cto_Eq!M49*(Dados!$G$3/Dados!$G$4)</f>
        <v>222.78666666666666</v>
      </c>
    </row>
    <row r="22" spans="1:28" ht="30" customHeight="1" x14ac:dyDescent="0.3">
      <c r="A22" s="163" t="s">
        <v>606</v>
      </c>
      <c r="B22" s="3"/>
      <c r="C22" s="4"/>
      <c r="D22" s="5">
        <f>SUM(D18:D21)</f>
        <v>6976.666666666667</v>
      </c>
      <c r="E22" s="5">
        <f>SUM(E18:E21)</f>
        <v>20930</v>
      </c>
      <c r="F22" s="159" t="s">
        <v>559</v>
      </c>
      <c r="G22" s="3">
        <f>+Cal_Cult!AL41</f>
        <v>37.5</v>
      </c>
      <c r="H22" s="8">
        <f>+Dados!H45</f>
        <v>5.2658666666666667</v>
      </c>
      <c r="I22" s="8">
        <f>+Dados!I45</f>
        <v>3.6456000000000004</v>
      </c>
      <c r="J22" s="8">
        <f t="shared" si="8"/>
        <v>8.9114666666666675</v>
      </c>
      <c r="K22" s="220">
        <f t="shared" si="5"/>
        <v>197.47</v>
      </c>
      <c r="L22" s="220">
        <f t="shared" si="6"/>
        <v>136.71</v>
      </c>
      <c r="M22" s="2">
        <f t="shared" si="7"/>
        <v>334.18</v>
      </c>
      <c r="N22" s="3">
        <f>+Cto_Eq!M50*(Dados!$G$3/Dados!$G$4)</f>
        <v>111.39333333333333</v>
      </c>
      <c r="O22" s="2"/>
      <c r="P22" s="2"/>
      <c r="Q22" s="2"/>
      <c r="R22" s="3"/>
    </row>
    <row r="23" spans="1:28" ht="30" customHeight="1" x14ac:dyDescent="0.3">
      <c r="A23" s="178"/>
      <c r="B23" s="3"/>
      <c r="C23" s="4"/>
      <c r="D23" s="4"/>
      <c r="E23" s="4"/>
      <c r="F23" s="159" t="s">
        <v>535</v>
      </c>
      <c r="G23" s="3">
        <f>+Cal_Cult!AL42</f>
        <v>15</v>
      </c>
      <c r="H23" s="8">
        <f>+Dados!H46</f>
        <v>9.1866666666666674</v>
      </c>
      <c r="I23" s="8">
        <f>+Dados!I46</f>
        <v>2.544</v>
      </c>
      <c r="J23" s="8">
        <f t="shared" si="8"/>
        <v>11.730666666666668</v>
      </c>
      <c r="K23" s="220">
        <f t="shared" si="5"/>
        <v>137.80000000000001</v>
      </c>
      <c r="L23" s="220">
        <f t="shared" si="6"/>
        <v>38.160000000000004</v>
      </c>
      <c r="M23" s="2">
        <f t="shared" si="7"/>
        <v>175.96</v>
      </c>
      <c r="N23" s="3">
        <f>+Cto_Eq!M51*(Dados!$G$3/Dados!$G$4)</f>
        <v>175.95999999999998</v>
      </c>
      <c r="O23" s="2"/>
      <c r="P23" s="2"/>
      <c r="Q23" s="2"/>
      <c r="R23" s="3"/>
    </row>
    <row r="24" spans="1:28" ht="30" customHeight="1" x14ac:dyDescent="0.3">
      <c r="A24" s="164" t="s">
        <v>659</v>
      </c>
      <c r="B24" s="3">
        <f>+Dados!G11</f>
        <v>125</v>
      </c>
      <c r="C24" s="4">
        <f>+Dados!G58</f>
        <v>10</v>
      </c>
      <c r="D24" s="4">
        <f>+B24*C24</f>
        <v>1250</v>
      </c>
      <c r="E24" s="4">
        <f>+Dados!M58*(Dados!G3/Dados!G4)</f>
        <v>3750</v>
      </c>
      <c r="F24" s="159" t="s">
        <v>560</v>
      </c>
      <c r="G24" s="3">
        <f>+Cal_Cult!AL43</f>
        <v>12.5</v>
      </c>
      <c r="H24" s="8">
        <f>+Dados!H47</f>
        <v>10.4</v>
      </c>
      <c r="I24" s="8">
        <f>+Dados!I47</f>
        <v>1.2</v>
      </c>
      <c r="J24" s="8">
        <f t="shared" si="8"/>
        <v>11.6</v>
      </c>
      <c r="K24" s="220">
        <f t="shared" si="5"/>
        <v>130</v>
      </c>
      <c r="L24" s="220">
        <f t="shared" si="6"/>
        <v>15</v>
      </c>
      <c r="M24" s="2">
        <f t="shared" si="7"/>
        <v>145</v>
      </c>
      <c r="N24" s="3">
        <f>+Cto_Eq!M52*(Dados!$G$3/Dados!$G$4)</f>
        <v>145</v>
      </c>
      <c r="O24" s="2"/>
      <c r="P24" s="2"/>
      <c r="Q24" s="2"/>
      <c r="R24" s="3"/>
    </row>
    <row r="25" spans="1:28" ht="30" customHeight="1" x14ac:dyDescent="0.3">
      <c r="A25" s="164" t="s">
        <v>660</v>
      </c>
      <c r="B25" s="3">
        <f>+Dados!G12</f>
        <v>100</v>
      </c>
      <c r="C25" s="4">
        <f>+Dados!G62</f>
        <v>5</v>
      </c>
      <c r="D25" s="4">
        <f>+B25*C25</f>
        <v>500</v>
      </c>
      <c r="E25" s="4">
        <f>+Dados!M61*(Dados!G3/Dados!G4)</f>
        <v>1500</v>
      </c>
      <c r="F25" s="159" t="s">
        <v>567</v>
      </c>
      <c r="G25" s="3">
        <f>+Cal_Cult!AL44</f>
        <v>12.5</v>
      </c>
      <c r="H25" s="8">
        <f>+Dados!H48</f>
        <v>8.6666666666666679</v>
      </c>
      <c r="I25" s="8">
        <f>+Dados!I48</f>
        <v>1</v>
      </c>
      <c r="J25" s="8">
        <f t="shared" si="8"/>
        <v>9.6666666666666679</v>
      </c>
      <c r="K25" s="220">
        <f t="shared" si="5"/>
        <v>108.33333333333334</v>
      </c>
      <c r="L25" s="220">
        <f t="shared" si="6"/>
        <v>12.5</v>
      </c>
      <c r="M25" s="2">
        <f t="shared" si="7"/>
        <v>120.83333333333334</v>
      </c>
      <c r="N25" s="3">
        <f>+Cto_Eq!M53*(Dados!$G$3/Dados!$G$4)</f>
        <v>120.83333333333334</v>
      </c>
      <c r="O25" s="2"/>
      <c r="P25" s="2"/>
      <c r="Q25" s="2"/>
      <c r="R25" s="3"/>
    </row>
    <row r="26" spans="1:28" ht="30" customHeight="1" x14ac:dyDescent="0.3">
      <c r="A26" s="164" t="s">
        <v>661</v>
      </c>
      <c r="B26" s="3">
        <f>+Dados!G10</f>
        <v>75</v>
      </c>
      <c r="C26" s="4">
        <f>+Dados!G62</f>
        <v>5</v>
      </c>
      <c r="D26" s="4">
        <f>+B26*C26</f>
        <v>375</v>
      </c>
      <c r="E26" s="4">
        <f>+Dados!M62*(Dados!G3/Dados!G4)</f>
        <v>1125</v>
      </c>
      <c r="F26" s="159" t="s">
        <v>536</v>
      </c>
      <c r="G26" s="3">
        <f>+Cal_Cult!AL45/Cal_Cult!B36</f>
        <v>3.75</v>
      </c>
      <c r="H26" s="8">
        <f>+Dados!H49</f>
        <v>9.9223703703703698</v>
      </c>
      <c r="I26" s="8">
        <f>+Dados!I49</f>
        <v>0.87279999999999991</v>
      </c>
      <c r="J26" s="8">
        <f t="shared" si="8"/>
        <v>10.79517037037037</v>
      </c>
      <c r="K26" s="220">
        <f t="shared" si="5"/>
        <v>37.208888888888886</v>
      </c>
      <c r="L26" s="220">
        <f t="shared" si="6"/>
        <v>3.2729999999999997</v>
      </c>
      <c r="M26" s="2">
        <f t="shared" si="7"/>
        <v>40.481888888888889</v>
      </c>
      <c r="N26" s="3">
        <f>+Cto_Eq!M54*(Dados!$G$3/Dados!$G$4)</f>
        <v>121.44566666666665</v>
      </c>
      <c r="O26" s="2"/>
      <c r="P26" s="2"/>
      <c r="Q26" s="2"/>
      <c r="R26" s="3"/>
    </row>
    <row r="27" spans="1:28" ht="30" customHeight="1" x14ac:dyDescent="0.3">
      <c r="A27" s="159" t="s">
        <v>40</v>
      </c>
      <c r="F27" s="159" t="s">
        <v>537</v>
      </c>
      <c r="G27" s="3">
        <f>+Cal_Cult!AL46/Cal_Cult!B36</f>
        <v>3.75</v>
      </c>
      <c r="H27" s="8">
        <f>+Dados!H50</f>
        <v>9.9223703703703698</v>
      </c>
      <c r="I27" s="8">
        <f>+Dados!I50</f>
        <v>0.87279999999999991</v>
      </c>
      <c r="J27" s="8">
        <f t="shared" si="8"/>
        <v>10.79517037037037</v>
      </c>
      <c r="K27" s="220">
        <f t="shared" si="5"/>
        <v>37.208888888888886</v>
      </c>
      <c r="L27" s="220">
        <f t="shared" si="6"/>
        <v>3.2729999999999997</v>
      </c>
      <c r="M27" s="2">
        <f t="shared" si="7"/>
        <v>40.481888888888889</v>
      </c>
      <c r="N27" s="3">
        <f>+Cto_Eq!M55*(Dados!$G$3/Dados!$G$4)</f>
        <v>121.44566666666665</v>
      </c>
      <c r="O27" s="2"/>
      <c r="P27" s="2"/>
      <c r="Q27" s="2"/>
      <c r="R27" s="3"/>
    </row>
    <row r="28" spans="1:28" ht="30" customHeight="1" x14ac:dyDescent="0.3">
      <c r="A28" s="159" t="str">
        <f>+Dados!A63</f>
        <v>…</v>
      </c>
      <c r="B28" s="3"/>
      <c r="C28" s="4"/>
      <c r="D28" s="4"/>
      <c r="E28" s="4"/>
      <c r="F28" s="106" t="s">
        <v>40</v>
      </c>
      <c r="G28" s="3"/>
      <c r="H28" s="8"/>
      <c r="I28" s="8"/>
      <c r="J28" s="8"/>
      <c r="K28" s="2"/>
      <c r="L28" s="2"/>
      <c r="M28" s="2"/>
      <c r="N28" s="3"/>
      <c r="O28" s="2"/>
      <c r="P28" s="2"/>
      <c r="Q28" s="2"/>
      <c r="R28" s="3"/>
    </row>
    <row r="29" spans="1:28" ht="30" customHeight="1" x14ac:dyDescent="0.3">
      <c r="A29" s="163" t="s">
        <v>607</v>
      </c>
      <c r="B29" s="231">
        <f>SUM(B24:B28)</f>
        <v>300</v>
      </c>
      <c r="C29" s="232"/>
      <c r="D29" s="231">
        <f>SUM(D24:D28)</f>
        <v>2125</v>
      </c>
      <c r="E29" s="231">
        <f>SUM(E24:E28)</f>
        <v>6375</v>
      </c>
      <c r="F29" s="201" t="s">
        <v>605</v>
      </c>
      <c r="G29" s="231">
        <f>SUM(G18:G28)</f>
        <v>113.5</v>
      </c>
      <c r="H29" s="231">
        <f t="shared" ref="H29:N29" si="9">SUM(H18:H28)</f>
        <v>112.48230740740743</v>
      </c>
      <c r="I29" s="231">
        <f t="shared" si="9"/>
        <v>17.259600000000002</v>
      </c>
      <c r="J29" s="231">
        <f t="shared" si="9"/>
        <v>129.74190740740741</v>
      </c>
      <c r="K29" s="231">
        <f t="shared" si="9"/>
        <v>1002.6611111111112</v>
      </c>
      <c r="L29" s="231">
        <f t="shared" si="9"/>
        <v>235.32679999999999</v>
      </c>
      <c r="M29" s="231">
        <f t="shared" si="9"/>
        <v>1237.9879111111113</v>
      </c>
      <c r="N29" s="231">
        <f t="shared" si="9"/>
        <v>1399.9154666666666</v>
      </c>
      <c r="O29" s="163" t="s">
        <v>642</v>
      </c>
      <c r="P29" s="231"/>
      <c r="Q29" s="231"/>
      <c r="R29" s="231">
        <f>SUM(R18:R28)</f>
        <v>2669.53424</v>
      </c>
    </row>
    <row r="30" spans="1:28" ht="19.95" customHeight="1" x14ac:dyDescent="0.3">
      <c r="B30" s="1"/>
      <c r="D30" s="1"/>
      <c r="E30" s="1"/>
      <c r="F30" s="1"/>
      <c r="G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W30" s="1"/>
      <c r="X30" s="1"/>
      <c r="Y30" s="1"/>
      <c r="Z30" s="1"/>
      <c r="AB30" s="1"/>
    </row>
    <row r="31" spans="1:28" ht="19.95" customHeight="1" x14ac:dyDescent="0.3">
      <c r="A31" s="223" t="s">
        <v>664</v>
      </c>
      <c r="B31" s="1"/>
      <c r="D31" s="225"/>
      <c r="E31" s="225">
        <f>+E15+E29</f>
        <v>19125</v>
      </c>
      <c r="F31" s="1"/>
      <c r="G31" s="225">
        <f>+G15+G29</f>
        <v>168.83333333333331</v>
      </c>
      <c r="H31" s="225">
        <f t="shared" ref="H31:N31" si="10">+H15+H29</f>
        <v>224.96461481481487</v>
      </c>
      <c r="I31" s="225">
        <f t="shared" si="10"/>
        <v>34.519200000000005</v>
      </c>
      <c r="J31" s="225">
        <f t="shared" si="10"/>
        <v>259.48381481481482</v>
      </c>
      <c r="K31" s="268">
        <f t="shared" si="10"/>
        <v>1452.3166666666668</v>
      </c>
      <c r="L31" s="269">
        <f t="shared" si="10"/>
        <v>363.7030666666667</v>
      </c>
      <c r="M31" s="225">
        <f t="shared" si="10"/>
        <v>1816.0197333333335</v>
      </c>
      <c r="N31" s="225">
        <f t="shared" si="10"/>
        <v>4199.7464</v>
      </c>
      <c r="O31" s="221"/>
      <c r="P31" s="225">
        <f>+P15+P29</f>
        <v>0</v>
      </c>
      <c r="Q31" s="225">
        <f>+Q15+Q29</f>
        <v>0</v>
      </c>
      <c r="R31" s="225">
        <f>+R15+R29</f>
        <v>8008.6027199999999</v>
      </c>
      <c r="S31" s="1"/>
      <c r="T31" s="1"/>
      <c r="U31" s="1"/>
      <c r="W31" s="1"/>
      <c r="X31" s="1"/>
      <c r="Y31" s="1"/>
      <c r="Z31" s="1"/>
      <c r="AB31" s="1"/>
    </row>
    <row r="32" spans="1:28" ht="19.95" customHeight="1" x14ac:dyDescent="0.3">
      <c r="A32" s="317"/>
      <c r="B32" s="1"/>
      <c r="D32" s="225"/>
      <c r="E32" s="225"/>
      <c r="F32" s="1"/>
      <c r="G32" s="225"/>
      <c r="H32" s="225"/>
      <c r="I32" s="225"/>
      <c r="J32" s="225"/>
      <c r="K32" s="315"/>
      <c r="L32" s="315"/>
      <c r="M32" s="225"/>
      <c r="N32" s="225"/>
      <c r="O32" s="318"/>
      <c r="P32" s="225"/>
      <c r="Q32" s="225"/>
      <c r="R32" s="225"/>
      <c r="S32" s="1"/>
      <c r="T32" s="1"/>
      <c r="U32" s="1"/>
      <c r="W32" s="1"/>
      <c r="X32" s="1"/>
      <c r="Y32" s="1"/>
      <c r="Z32" s="1"/>
      <c r="AB32" s="1"/>
    </row>
    <row r="33" spans="1:5" x14ac:dyDescent="0.3">
      <c r="A33" s="446" t="s">
        <v>665</v>
      </c>
      <c r="B33" s="447"/>
      <c r="C33" s="447"/>
      <c r="D33" s="267">
        <f>+D8+D22</f>
        <v>13953.333333333334</v>
      </c>
      <c r="E33" s="267"/>
    </row>
    <row r="34" spans="1:5" x14ac:dyDescent="0.3">
      <c r="A34" s="446" t="s">
        <v>666</v>
      </c>
      <c r="B34" s="447"/>
      <c r="C34" s="447"/>
      <c r="D34" s="157">
        <f>+D15+D29</f>
        <v>4250</v>
      </c>
      <c r="E34" s="157"/>
    </row>
  </sheetData>
  <mergeCells count="7">
    <mergeCell ref="A17:Q17"/>
    <mergeCell ref="A3:Q3"/>
    <mergeCell ref="A33:C33"/>
    <mergeCell ref="A34:C34"/>
    <mergeCell ref="A1:D1"/>
    <mergeCell ref="F1:M1"/>
    <mergeCell ref="O1:Q1"/>
  </mergeCells>
  <hyperlinks>
    <hyperlink ref="E1" location="Indice!A1" display="Índice"/>
  </hyperlinks>
  <printOptions horizontalCentered="1" gridLines="1"/>
  <pageMargins left="7.874015748031496E-2" right="7.874015748031496E-2" top="7.874015748031496E-2" bottom="7.874015748031496E-2" header="0.31496062992125984" footer="0.31496062992125984"/>
  <pageSetup paperSize="9" pageOrder="overThenDown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RowHeight="13.8" x14ac:dyDescent="0.3"/>
  <cols>
    <col min="1" max="1" width="23.6640625" customWidth="1"/>
    <col min="2" max="2" width="11" customWidth="1"/>
    <col min="3" max="3" width="14.109375" customWidth="1"/>
    <col min="4" max="5" width="11.33203125" customWidth="1"/>
    <col min="6" max="11" width="8.6640625" customWidth="1"/>
  </cols>
  <sheetData>
    <row r="1" spans="1:13" ht="30" customHeight="1" x14ac:dyDescent="0.3">
      <c r="A1" s="399" t="s">
        <v>917</v>
      </c>
      <c r="B1" s="453" t="s">
        <v>922</v>
      </c>
      <c r="C1" s="428"/>
      <c r="D1" s="428"/>
      <c r="E1" s="428"/>
      <c r="F1" s="428"/>
      <c r="G1" s="428"/>
      <c r="H1" s="428"/>
      <c r="I1" s="428"/>
      <c r="J1" s="428"/>
      <c r="K1" s="428"/>
    </row>
    <row r="2" spans="1:13" ht="30" customHeight="1" x14ac:dyDescent="0.3">
      <c r="A2" s="429" t="s">
        <v>57</v>
      </c>
      <c r="B2" s="50" t="s">
        <v>129</v>
      </c>
      <c r="C2" s="51" t="s">
        <v>130</v>
      </c>
      <c r="D2" s="51" t="s">
        <v>698</v>
      </c>
      <c r="E2" s="51" t="s">
        <v>699</v>
      </c>
      <c r="F2" s="51" t="s">
        <v>648</v>
      </c>
      <c r="G2" s="51" t="s">
        <v>649</v>
      </c>
      <c r="H2" s="227" t="s">
        <v>650</v>
      </c>
      <c r="I2" s="227" t="s">
        <v>651</v>
      </c>
      <c r="J2" s="51" t="s">
        <v>652</v>
      </c>
      <c r="K2" s="304" t="s">
        <v>653</v>
      </c>
      <c r="L2" s="51"/>
      <c r="M2" s="51"/>
    </row>
    <row r="3" spans="1:13" ht="20.100000000000001" customHeight="1" x14ac:dyDescent="0.3">
      <c r="A3" s="430"/>
      <c r="B3" s="50" t="s">
        <v>67</v>
      </c>
      <c r="C3" s="50" t="s">
        <v>131</v>
      </c>
      <c r="D3" s="50" t="s">
        <v>27</v>
      </c>
      <c r="E3" s="50" t="s">
        <v>114</v>
      </c>
      <c r="F3" s="50" t="s">
        <v>87</v>
      </c>
      <c r="G3" s="50" t="s">
        <v>132</v>
      </c>
      <c r="H3" s="50" t="s">
        <v>87</v>
      </c>
      <c r="I3" s="50" t="s">
        <v>132</v>
      </c>
      <c r="J3" s="50" t="s">
        <v>87</v>
      </c>
      <c r="K3" s="305" t="s">
        <v>132</v>
      </c>
      <c r="L3" s="50"/>
      <c r="M3" s="50"/>
    </row>
    <row r="4" spans="1:13" ht="30" customHeight="1" x14ac:dyDescent="0.3">
      <c r="A4" s="16" t="str">
        <f>+Dados!A41</f>
        <v>Prepodadora (Tr 53 cv)
LinhaNº232 (IHERA)</v>
      </c>
      <c r="B4" s="22">
        <f>+Dados!G4</f>
        <v>9</v>
      </c>
      <c r="C4" s="22">
        <f>+Cto_Eq!J4</f>
        <v>2.0833333333333335</v>
      </c>
      <c r="D4" s="22">
        <f>+B4*C4</f>
        <v>18.75</v>
      </c>
      <c r="E4" s="22">
        <f>+Cto_Eq!M4</f>
        <v>18.75</v>
      </c>
      <c r="F4" s="22">
        <f>+Cto_Eq!L46</f>
        <v>37.5</v>
      </c>
      <c r="G4" s="52">
        <f>+E4*F4</f>
        <v>703.125</v>
      </c>
      <c r="H4" s="52">
        <f>+Cto_Trat!K44</f>
        <v>22.220522621082623</v>
      </c>
      <c r="I4" s="52">
        <f>+D4*H4</f>
        <v>416.63479914529916</v>
      </c>
      <c r="J4" s="52">
        <f t="shared" ref="J4:K13" si="0">+H4+F4</f>
        <v>59.720522621082623</v>
      </c>
      <c r="K4" s="306">
        <f t="shared" si="0"/>
        <v>1119.7597991452992</v>
      </c>
      <c r="L4" s="52"/>
      <c r="M4" s="52"/>
    </row>
    <row r="5" spans="1:13" ht="30" customHeight="1" x14ac:dyDescent="0.3">
      <c r="A5" s="16" t="str">
        <f>+Dados!A42</f>
        <v>Trit.de sarmentos (Tr 45 cv)
LinhaNº235 (IHERA)</v>
      </c>
      <c r="B5" s="22">
        <f>+Dados!G4</f>
        <v>9</v>
      </c>
      <c r="C5" s="22">
        <f>+Cto_Eq!J5</f>
        <v>2.0833333333333335</v>
      </c>
      <c r="D5" s="22">
        <f>+B5*C5</f>
        <v>18.75</v>
      </c>
      <c r="E5" s="22">
        <f>+Cto_Eq!M5</f>
        <v>18.75</v>
      </c>
      <c r="F5" s="22">
        <f>+Cto_Eq!L47</f>
        <v>18.75</v>
      </c>
      <c r="G5" s="52">
        <f t="shared" ref="G5:G13" si="1">+E5*F5</f>
        <v>351.5625</v>
      </c>
      <c r="H5" s="52">
        <f>+Cto_Trat!K51</f>
        <v>19.56619523809524</v>
      </c>
      <c r="I5" s="52">
        <f>+D5*H5</f>
        <v>366.86616071428574</v>
      </c>
      <c r="J5" s="52">
        <f t="shared" si="0"/>
        <v>38.31619523809524</v>
      </c>
      <c r="K5" s="306">
        <f t="shared" si="0"/>
        <v>718.4286607142858</v>
      </c>
      <c r="L5" s="52"/>
      <c r="M5" s="52"/>
    </row>
    <row r="6" spans="1:13" ht="30" customHeight="1" x14ac:dyDescent="0.3">
      <c r="A6" s="16" t="str">
        <f>+Dados!A43</f>
        <v>Escarificador  (Tr 53 cv)
LinhaNº65 (IHERA)</v>
      </c>
      <c r="B6" s="22">
        <f>+Dados!G4</f>
        <v>9</v>
      </c>
      <c r="C6" s="22">
        <f>+Cto_Eq!J6</f>
        <v>5.333333333333333</v>
      </c>
      <c r="D6" s="22">
        <f t="shared" ref="D6:D13" si="2">+B6*C6</f>
        <v>48</v>
      </c>
      <c r="E6" s="22">
        <f>+Cto_Eq!M6</f>
        <v>48</v>
      </c>
      <c r="F6" s="22">
        <f>+Cto_Eq!L48</f>
        <v>22.982400000000002</v>
      </c>
      <c r="G6" s="52">
        <f t="shared" si="1"/>
        <v>1103.1552000000001</v>
      </c>
      <c r="H6" s="52">
        <f>+Cto_Trat!K44</f>
        <v>22.220522621082623</v>
      </c>
      <c r="I6" s="52">
        <f t="shared" ref="I6:I13" si="3">+D6*H6</f>
        <v>1066.5850858119659</v>
      </c>
      <c r="J6" s="52">
        <f t="shared" si="0"/>
        <v>45.202922621082621</v>
      </c>
      <c r="K6" s="306">
        <f t="shared" si="0"/>
        <v>2169.7402858119658</v>
      </c>
      <c r="L6" s="52"/>
      <c r="M6" s="52"/>
    </row>
    <row r="7" spans="1:13" ht="30" customHeight="1" x14ac:dyDescent="0.3">
      <c r="A7" s="96" t="str">
        <f>+Dados!A44</f>
        <v>Pulv400L (Tr 53 cv)
LinhaNº130 (IHERA)</v>
      </c>
      <c r="B7" s="22">
        <f>+Dados!G2</f>
        <v>6</v>
      </c>
      <c r="C7" s="22">
        <f>+Cto_Eq!J7</f>
        <v>12.5</v>
      </c>
      <c r="D7" s="22">
        <f t="shared" si="2"/>
        <v>75</v>
      </c>
      <c r="E7" s="22">
        <f>+Cto_Eq!M7</f>
        <v>75</v>
      </c>
      <c r="F7" s="22">
        <f>+Cto_Eq!L49</f>
        <v>273.42</v>
      </c>
      <c r="G7" s="52">
        <f t="shared" si="1"/>
        <v>20506.5</v>
      </c>
      <c r="H7" s="52">
        <f>+Cto_Trat!K44</f>
        <v>22.220522621082623</v>
      </c>
      <c r="I7" s="52">
        <f t="shared" si="3"/>
        <v>1666.5391965811966</v>
      </c>
      <c r="J7" s="52">
        <f t="shared" si="0"/>
        <v>295.64052262108265</v>
      </c>
      <c r="K7" s="306">
        <f t="shared" si="0"/>
        <v>22173.039196581198</v>
      </c>
      <c r="L7" s="52"/>
      <c r="M7" s="52"/>
    </row>
    <row r="8" spans="1:13" ht="30" customHeight="1" x14ac:dyDescent="0.3">
      <c r="A8" s="96" t="str">
        <f>+Dados!A45</f>
        <v>Pulv300L (Tr 45 cv)
LinhaNº130 (IHERA)</v>
      </c>
      <c r="B8" s="22">
        <f>+Dados!G3</f>
        <v>3</v>
      </c>
      <c r="C8" s="22">
        <f>+Cto_Eq!J8</f>
        <v>12.5</v>
      </c>
      <c r="D8" s="22">
        <f t="shared" si="2"/>
        <v>37.5</v>
      </c>
      <c r="E8" s="22">
        <f>+Cto_Eq!M8</f>
        <v>37.5</v>
      </c>
      <c r="F8" s="22">
        <f>+Cto_Eq!L50</f>
        <v>136.71</v>
      </c>
      <c r="G8" s="52">
        <f t="shared" si="1"/>
        <v>5126.625</v>
      </c>
      <c r="H8" s="52">
        <f>+Cto_Trat!K51</f>
        <v>19.56619523809524</v>
      </c>
      <c r="I8" s="52">
        <f t="shared" si="3"/>
        <v>733.73232142857148</v>
      </c>
      <c r="J8" s="52">
        <f>+H8+F8</f>
        <v>156.27619523809526</v>
      </c>
      <c r="K8" s="306">
        <f>+I8+G8</f>
        <v>5860.3573214285716</v>
      </c>
      <c r="L8" s="52"/>
      <c r="M8" s="52"/>
    </row>
    <row r="9" spans="1:13" ht="30" customHeight="1" x14ac:dyDescent="0.3">
      <c r="A9" s="100" t="str">
        <f>+Dados!A46</f>
        <v>PJP300L  (Tr 45 cv)
LinhaNº125 (IHERA)</v>
      </c>
      <c r="B9" s="22">
        <f>+Dados!G4</f>
        <v>9</v>
      </c>
      <c r="C9" s="22">
        <f>+Cto_Eq!J9</f>
        <v>5</v>
      </c>
      <c r="D9" s="22">
        <f t="shared" si="2"/>
        <v>45</v>
      </c>
      <c r="E9" s="22">
        <f>+Cto_Eq!M9</f>
        <v>45</v>
      </c>
      <c r="F9" s="22">
        <f>+Cto_Eq!L51</f>
        <v>114.48</v>
      </c>
      <c r="G9" s="52">
        <f t="shared" si="1"/>
        <v>5151.6000000000004</v>
      </c>
      <c r="H9" s="52">
        <f>+Cto_Trat!K51</f>
        <v>19.56619523809524</v>
      </c>
      <c r="I9" s="52">
        <f t="shared" si="3"/>
        <v>880.47878571428578</v>
      </c>
      <c r="J9" s="52">
        <f t="shared" si="0"/>
        <v>134.04619523809524</v>
      </c>
      <c r="K9" s="306">
        <f t="shared" si="0"/>
        <v>6032.0787857142859</v>
      </c>
      <c r="L9" s="52"/>
      <c r="M9" s="52"/>
    </row>
    <row r="10" spans="1:13" ht="30" customHeight="1" x14ac:dyDescent="0.3">
      <c r="A10" s="98" t="str">
        <f>+Dados!A47</f>
        <v>Despontadora  (Tr 45 cv)
LinhaNº241 (IHERA)</v>
      </c>
      <c r="B10" s="22">
        <f>+Dados!G4</f>
        <v>9</v>
      </c>
      <c r="C10" s="22">
        <f>+Cto_Eq!J10</f>
        <v>4.166666666666667</v>
      </c>
      <c r="D10" s="22">
        <f t="shared" si="2"/>
        <v>37.5</v>
      </c>
      <c r="E10" s="22">
        <f>+Cto_Eq!M10</f>
        <v>37.5</v>
      </c>
      <c r="F10" s="22">
        <f>+Cto_Eq!L52</f>
        <v>45</v>
      </c>
      <c r="G10" s="52">
        <f t="shared" si="1"/>
        <v>1687.5</v>
      </c>
      <c r="H10" s="52">
        <f>+Cto_Trat!K51</f>
        <v>19.56619523809524</v>
      </c>
      <c r="I10" s="52">
        <f t="shared" si="3"/>
        <v>733.73232142857148</v>
      </c>
      <c r="J10" s="52">
        <f t="shared" si="0"/>
        <v>64.566195238095247</v>
      </c>
      <c r="K10" s="306">
        <f t="shared" si="0"/>
        <v>2421.2323214285716</v>
      </c>
      <c r="L10" s="52"/>
      <c r="M10" s="52"/>
    </row>
    <row r="11" spans="1:13" ht="30" customHeight="1" x14ac:dyDescent="0.3">
      <c r="A11" s="98" t="str">
        <f>+Dados!A48</f>
        <v>Triturador de erva (Tr 45)
LinhaNº234 (IHERA)</v>
      </c>
      <c r="B11" s="22">
        <f>+Dados!G4</f>
        <v>9</v>
      </c>
      <c r="C11" s="22">
        <f>+Cto_Eq!J11</f>
        <v>4.166666666666667</v>
      </c>
      <c r="D11" s="22">
        <f t="shared" si="2"/>
        <v>37.5</v>
      </c>
      <c r="E11" s="22">
        <f>+Cto_Eq!M11</f>
        <v>37.5</v>
      </c>
      <c r="F11" s="22">
        <f>+Cto_Eq!L53</f>
        <v>37.5</v>
      </c>
      <c r="G11" s="52">
        <f t="shared" si="1"/>
        <v>1406.25</v>
      </c>
      <c r="H11" s="52">
        <f>+Cto_Trat!K51</f>
        <v>19.56619523809524</v>
      </c>
      <c r="I11" s="52">
        <f>+D11*H11</f>
        <v>733.73232142857148</v>
      </c>
      <c r="J11" s="52">
        <f t="shared" si="0"/>
        <v>57.06619523809524</v>
      </c>
      <c r="K11" s="306">
        <f t="shared" si="0"/>
        <v>2139.9823214285716</v>
      </c>
      <c r="L11" s="52"/>
      <c r="M11" s="52"/>
    </row>
    <row r="12" spans="1:13" ht="30" customHeight="1" x14ac:dyDescent="0.3">
      <c r="A12" s="100" t="str">
        <f>+Dados!A49</f>
        <v>Semi-R.4T kg  (Tr 53 cv)
LinhaNº173 (IHERA)</v>
      </c>
      <c r="B12" s="22">
        <v>4</v>
      </c>
      <c r="C12" s="22">
        <f>+Cto_Eq!J12</f>
        <v>0</v>
      </c>
      <c r="D12" s="22">
        <f t="shared" si="2"/>
        <v>0</v>
      </c>
      <c r="E12" s="22">
        <f>+Cto_Eq!M12</f>
        <v>33.75</v>
      </c>
      <c r="F12" s="22">
        <f>+Cto_Eq!L54</f>
        <v>29.456999999999997</v>
      </c>
      <c r="G12" s="52">
        <f t="shared" si="1"/>
        <v>994.17374999999993</v>
      </c>
      <c r="H12" s="52">
        <f>+Cto_Trat!K44</f>
        <v>22.220522621082623</v>
      </c>
      <c r="I12" s="52">
        <f t="shared" si="3"/>
        <v>0</v>
      </c>
      <c r="J12" s="52">
        <f t="shared" si="0"/>
        <v>51.677522621082616</v>
      </c>
      <c r="K12" s="306">
        <f t="shared" si="0"/>
        <v>994.17374999999993</v>
      </c>
      <c r="L12" s="52"/>
      <c r="M12" s="52"/>
    </row>
    <row r="13" spans="1:13" ht="30" customHeight="1" x14ac:dyDescent="0.3">
      <c r="A13" s="100" t="str">
        <f>+Dados!A50</f>
        <v>Semi-R. 4T  (Tr 45 cv)
LinhaNº173 (IHERA)</v>
      </c>
      <c r="B13" s="22">
        <v>4</v>
      </c>
      <c r="C13" s="22">
        <f>+Cto_Eq!J13</f>
        <v>0</v>
      </c>
      <c r="D13" s="22">
        <f t="shared" si="2"/>
        <v>0</v>
      </c>
      <c r="E13" s="22">
        <f>+Cto_Eq!M13</f>
        <v>33.75</v>
      </c>
      <c r="F13" s="22">
        <f>+Cto_Eq!L55</f>
        <v>29.456999999999997</v>
      </c>
      <c r="G13" s="52">
        <f t="shared" si="1"/>
        <v>994.17374999999993</v>
      </c>
      <c r="H13" s="52">
        <f>+Cto_Trat!K51</f>
        <v>19.56619523809524</v>
      </c>
      <c r="I13" s="52">
        <f t="shared" si="3"/>
        <v>0</v>
      </c>
      <c r="J13" s="52">
        <f t="shared" si="0"/>
        <v>49.023195238095241</v>
      </c>
      <c r="K13" s="306">
        <f t="shared" si="0"/>
        <v>994.17374999999993</v>
      </c>
      <c r="L13" s="52"/>
      <c r="M13" s="52"/>
    </row>
    <row r="14" spans="1:13" ht="30" customHeight="1" x14ac:dyDescent="0.3">
      <c r="A14" s="53" t="s">
        <v>133</v>
      </c>
      <c r="B14" s="452" t="s">
        <v>578</v>
      </c>
      <c r="C14" s="447"/>
      <c r="D14" s="33">
        <f>SUM(D4:D13)</f>
        <v>318</v>
      </c>
      <c r="E14" s="33">
        <f>SUM(E4:E13)</f>
        <v>385.5</v>
      </c>
      <c r="F14" s="303"/>
      <c r="G14" s="33">
        <f>SUM(G4:G13)</f>
        <v>38024.665200000003</v>
      </c>
      <c r="H14" s="303"/>
      <c r="I14" s="33">
        <f>SUM(I4:I13)</f>
        <v>6598.3009922527481</v>
      </c>
      <c r="J14" s="303"/>
      <c r="K14" s="302">
        <f>SUM(K4:K13)</f>
        <v>44622.966192252752</v>
      </c>
      <c r="L14" s="33"/>
      <c r="M14" s="33"/>
    </row>
    <row r="16" spans="1:13" x14ac:dyDescent="0.3">
      <c r="J16" s="254"/>
    </row>
  </sheetData>
  <mergeCells count="3">
    <mergeCell ref="A2:A3"/>
    <mergeCell ref="B14:C14"/>
    <mergeCell ref="B1:K1"/>
  </mergeCells>
  <hyperlinks>
    <hyperlink ref="A1" location="Indice!A1" display="Índice"/>
  </hyperlinks>
  <printOptions horizontalCentered="1" gridLines="1"/>
  <pageMargins left="7.874015748031496E-2" right="7.874015748031496E-2" top="7.874015748031496E-2" bottom="7.874015748031496E-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5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R19" sqref="AR19"/>
    </sheetView>
  </sheetViews>
  <sheetFormatPr defaultRowHeight="13.8" x14ac:dyDescent="0.3"/>
  <cols>
    <col min="1" max="1" width="22.109375" style="158" customWidth="1"/>
    <col min="2" max="37" width="3.6640625" style="169" customWidth="1"/>
    <col min="38" max="38" width="6.88671875" style="169" customWidth="1"/>
    <col min="39" max="16384" width="8.88671875" style="158"/>
  </cols>
  <sheetData>
    <row r="1" spans="1:41" ht="16.5" customHeight="1" x14ac:dyDescent="0.3">
      <c r="A1" s="399" t="s">
        <v>917</v>
      </c>
      <c r="B1" s="456" t="s">
        <v>0</v>
      </c>
      <c r="C1" s="456" t="s">
        <v>1</v>
      </c>
      <c r="D1" s="456" t="s">
        <v>2</v>
      </c>
      <c r="E1" s="456" t="s">
        <v>3</v>
      </c>
      <c r="F1" s="456" t="s">
        <v>4</v>
      </c>
      <c r="G1" s="456" t="s">
        <v>5</v>
      </c>
      <c r="H1" s="456" t="s">
        <v>6</v>
      </c>
      <c r="I1" s="456" t="s">
        <v>7</v>
      </c>
      <c r="J1" s="456" t="s">
        <v>8</v>
      </c>
      <c r="K1" s="456" t="s">
        <v>9</v>
      </c>
      <c r="L1" s="456" t="s">
        <v>10</v>
      </c>
      <c r="M1" s="456" t="s">
        <v>11</v>
      </c>
      <c r="N1" s="456" t="s">
        <v>6</v>
      </c>
      <c r="O1" s="456" t="s">
        <v>7</v>
      </c>
      <c r="P1" s="456" t="s">
        <v>8</v>
      </c>
      <c r="Q1" s="456" t="s">
        <v>0</v>
      </c>
      <c r="R1" s="456" t="s">
        <v>1</v>
      </c>
      <c r="S1" s="456" t="s">
        <v>2</v>
      </c>
      <c r="T1" s="456" t="s">
        <v>0</v>
      </c>
      <c r="U1" s="456" t="s">
        <v>1</v>
      </c>
      <c r="V1" s="456" t="s">
        <v>2</v>
      </c>
      <c r="W1" s="456" t="s">
        <v>9</v>
      </c>
      <c r="X1" s="456" t="s">
        <v>10</v>
      </c>
      <c r="Y1" s="456" t="s">
        <v>11</v>
      </c>
      <c r="Z1" s="456" t="s">
        <v>12</v>
      </c>
      <c r="AA1" s="456" t="s">
        <v>13</v>
      </c>
      <c r="AB1" s="456" t="s">
        <v>14</v>
      </c>
      <c r="AC1" s="456" t="s">
        <v>15</v>
      </c>
      <c r="AD1" s="456" t="s">
        <v>16</v>
      </c>
      <c r="AE1" s="456" t="s">
        <v>17</v>
      </c>
      <c r="AF1" s="456" t="s">
        <v>18</v>
      </c>
      <c r="AG1" s="456" t="s">
        <v>19</v>
      </c>
      <c r="AH1" s="456" t="s">
        <v>20</v>
      </c>
      <c r="AI1" s="456" t="s">
        <v>21</v>
      </c>
      <c r="AJ1" s="456" t="s">
        <v>22</v>
      </c>
      <c r="AK1" s="456" t="s">
        <v>23</v>
      </c>
      <c r="AL1" s="458" t="s">
        <v>654</v>
      </c>
    </row>
    <row r="2" spans="1:41" ht="27" customHeight="1" x14ac:dyDescent="0.3">
      <c r="A2" s="409" t="s">
        <v>36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457"/>
      <c r="AL2" s="459"/>
    </row>
    <row r="3" spans="1:41" ht="25.2" customHeight="1" x14ac:dyDescent="0.3">
      <c r="A3" s="162" t="s">
        <v>48</v>
      </c>
      <c r="B3" s="228">
        <f>+Dados!G2</f>
        <v>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7"/>
    </row>
    <row r="4" spans="1:41" ht="30" customHeight="1" x14ac:dyDescent="0.3">
      <c r="A4" s="160" t="str">
        <f>+Dados!A41</f>
        <v>Prepodadora (Tr 53 cv)
LinhaNº232 (IHERA)</v>
      </c>
      <c r="B4" s="9"/>
      <c r="C4" s="9"/>
      <c r="D4" s="9">
        <f>+$B$3*Dados!K41/2</f>
        <v>6.25</v>
      </c>
      <c r="E4" s="9">
        <f>+D4</f>
        <v>6.25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7">
        <f t="shared" ref="AL4:AL19" si="0">SUM(B4:AK4)</f>
        <v>12.5</v>
      </c>
    </row>
    <row r="5" spans="1:41" ht="30" customHeight="1" x14ac:dyDescent="0.3">
      <c r="A5" s="160" t="str">
        <f>+Dados!A42</f>
        <v>Trit.de sarmentos (Tr 45 cv)
LinhaNº235 (IHERA)</v>
      </c>
      <c r="B5" s="9"/>
      <c r="C5" s="9"/>
      <c r="D5" s="9"/>
      <c r="E5" s="9">
        <f>+$B$3*Dados!K42/2</f>
        <v>6.25</v>
      </c>
      <c r="F5" s="9">
        <f>+E5</f>
        <v>6.25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07">
        <f t="shared" si="0"/>
        <v>12.5</v>
      </c>
    </row>
    <row r="6" spans="1:41" ht="30" customHeight="1" x14ac:dyDescent="0.3">
      <c r="A6" s="160" t="str">
        <f>+Dados!A43</f>
        <v>Escarificador  (Tr 53 cv)
LinhaNº65 (IHERA)</v>
      </c>
      <c r="B6" s="9"/>
      <c r="C6" s="9"/>
      <c r="D6" s="9"/>
      <c r="E6" s="9"/>
      <c r="F6" s="9">
        <f>$B$3*Dados!K43/4</f>
        <v>8</v>
      </c>
      <c r="G6" s="9">
        <f>+F6</f>
        <v>8</v>
      </c>
      <c r="H6" s="9"/>
      <c r="I6" s="9"/>
      <c r="J6" s="9"/>
      <c r="K6" s="9"/>
      <c r="L6" s="9"/>
      <c r="M6" s="9"/>
      <c r="N6" s="9"/>
      <c r="O6" s="9"/>
      <c r="P6" s="9"/>
      <c r="Q6" s="9">
        <f>+F6</f>
        <v>8</v>
      </c>
      <c r="R6" s="9">
        <f>+F6</f>
        <v>8</v>
      </c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107">
        <f t="shared" si="0"/>
        <v>32</v>
      </c>
    </row>
    <row r="7" spans="1:41" ht="30" customHeight="1" x14ac:dyDescent="0.3">
      <c r="A7" s="160" t="str">
        <f>+Dados!A44</f>
        <v>Pulv400L (Tr 53 cv)
LinhaNº130 (IHERA)</v>
      </c>
      <c r="B7" s="9"/>
      <c r="C7" s="9"/>
      <c r="D7" s="9"/>
      <c r="E7" s="9"/>
      <c r="F7" s="9"/>
      <c r="G7" s="9"/>
      <c r="H7" s="9"/>
      <c r="I7" s="9"/>
      <c r="J7" s="9"/>
      <c r="K7" s="9">
        <f>$B$3*Dados!K44/8</f>
        <v>9.375</v>
      </c>
      <c r="L7" s="9">
        <f>+K7</f>
        <v>9.375</v>
      </c>
      <c r="M7" s="9"/>
      <c r="N7" s="9"/>
      <c r="O7" s="9">
        <f>+K7</f>
        <v>9.375</v>
      </c>
      <c r="P7" s="9">
        <f>+K7</f>
        <v>9.375</v>
      </c>
      <c r="Q7" s="9"/>
      <c r="R7" s="9"/>
      <c r="S7" s="9">
        <f>+K7</f>
        <v>9.375</v>
      </c>
      <c r="T7" s="9">
        <f>+K7</f>
        <v>9.375</v>
      </c>
      <c r="U7" s="9"/>
      <c r="V7" s="9"/>
      <c r="W7" s="9">
        <f>+K7</f>
        <v>9.375</v>
      </c>
      <c r="X7" s="9">
        <f>+K7</f>
        <v>9.375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107">
        <f t="shared" si="0"/>
        <v>75</v>
      </c>
    </row>
    <row r="8" spans="1:41" ht="30" customHeight="1" x14ac:dyDescent="0.3">
      <c r="A8" s="160" t="str">
        <f>+Dados!A45</f>
        <v>Pulv300L (Tr 45 cv)
LinhaNº130 (IHERA)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107">
        <f t="shared" si="0"/>
        <v>0</v>
      </c>
    </row>
    <row r="9" spans="1:41" ht="30" customHeight="1" x14ac:dyDescent="0.3">
      <c r="A9" s="160" t="str">
        <f>+Dados!A46</f>
        <v>PJP300L  (Tr 45 cv)
LinhaNº125 (IHERA)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>
        <f>$B$3*Dados!K46/4</f>
        <v>7.5</v>
      </c>
      <c r="N9" s="9">
        <f>+M9</f>
        <v>7.5</v>
      </c>
      <c r="O9" s="9"/>
      <c r="P9" s="9"/>
      <c r="Q9" s="9"/>
      <c r="R9" s="9"/>
      <c r="S9" s="9"/>
      <c r="T9" s="9"/>
      <c r="U9" s="9">
        <f>+M9</f>
        <v>7.5</v>
      </c>
      <c r="V9" s="9">
        <f>+M9</f>
        <v>7.5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07">
        <f t="shared" si="0"/>
        <v>30</v>
      </c>
    </row>
    <row r="10" spans="1:41" ht="30" customHeight="1" x14ac:dyDescent="0.3">
      <c r="A10" s="160" t="str">
        <f>+Dados!A47</f>
        <v>Despontadora  (Tr 45 cv)
LinhaNº241 (IHERA)</v>
      </c>
      <c r="B10" s="9"/>
      <c r="C10" s="9"/>
      <c r="D10" s="9"/>
      <c r="E10" s="9"/>
      <c r="F10" s="9"/>
      <c r="G10" s="9"/>
      <c r="H10" s="9"/>
      <c r="I10" s="9">
        <f>$B$3*Dados!K47/4</f>
        <v>6.25</v>
      </c>
      <c r="J10" s="9">
        <f>+I10</f>
        <v>6.25</v>
      </c>
      <c r="K10" s="9"/>
      <c r="L10" s="9"/>
      <c r="M10" s="9"/>
      <c r="N10" s="9"/>
      <c r="O10" s="9"/>
      <c r="P10" s="9"/>
      <c r="Q10" s="9">
        <f>+I10</f>
        <v>6.25</v>
      </c>
      <c r="R10" s="9">
        <f>+I10</f>
        <v>6.25</v>
      </c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107">
        <f t="shared" si="0"/>
        <v>25</v>
      </c>
    </row>
    <row r="11" spans="1:41" ht="30" customHeight="1" x14ac:dyDescent="0.3">
      <c r="A11" s="160" t="str">
        <f>+Dados!A48</f>
        <v>Triturador de erva (Tr 45)
LinhaNº234 (IHERA)</v>
      </c>
      <c r="B11" s="9"/>
      <c r="C11" s="9"/>
      <c r="D11" s="9"/>
      <c r="E11" s="9"/>
      <c r="F11" s="9"/>
      <c r="G11" s="9"/>
      <c r="H11" s="9"/>
      <c r="I11" s="9"/>
      <c r="J11" s="9"/>
      <c r="K11" s="9">
        <f>$B$3*Dados!K48/4</f>
        <v>6.25</v>
      </c>
      <c r="L11" s="9">
        <f>+K11</f>
        <v>6.25</v>
      </c>
      <c r="M11" s="9"/>
      <c r="N11" s="9"/>
      <c r="O11" s="9"/>
      <c r="P11" s="9"/>
      <c r="Q11" s="9"/>
      <c r="R11" s="9"/>
      <c r="S11" s="9">
        <f>+K11</f>
        <v>6.25</v>
      </c>
      <c r="T11" s="9">
        <f>+L11</f>
        <v>6.25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07">
        <f t="shared" si="0"/>
        <v>25</v>
      </c>
    </row>
    <row r="12" spans="1:41" ht="30" customHeight="1" x14ac:dyDescent="0.3">
      <c r="A12" s="160" t="str">
        <f>+Dados!A49</f>
        <v>Semi-R.4T kg  (Tr 53 cv)
LinhaNº173 (IHERA)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>
        <f>+Dados!L49*Dados!G2/Dados!G4/2</f>
        <v>11.25</v>
      </c>
      <c r="AA12" s="9">
        <f>+Z12</f>
        <v>11.25</v>
      </c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107">
        <f t="shared" si="0"/>
        <v>22.5</v>
      </c>
    </row>
    <row r="13" spans="1:41" ht="30" customHeight="1" x14ac:dyDescent="0.3">
      <c r="A13" s="160" t="str">
        <f>+Dados!A50</f>
        <v>Semi-R. 4T  (Tr 45 cv)
LinhaNº173 (IHERA)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>
        <f>+Dados!L50*Dados!G2/Dados!G4/2</f>
        <v>11.25</v>
      </c>
      <c r="AA13" s="9">
        <f>+Z13</f>
        <v>11.25</v>
      </c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07">
        <f t="shared" si="0"/>
        <v>22.5</v>
      </c>
    </row>
    <row r="14" spans="1:41" ht="30" customHeight="1" x14ac:dyDescent="0.3">
      <c r="A14" s="160" t="s">
        <v>40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61">
        <f t="shared" si="0"/>
        <v>0</v>
      </c>
      <c r="AO14" s="408"/>
    </row>
    <row r="15" spans="1:41" ht="30" customHeight="1" x14ac:dyDescent="0.3">
      <c r="A15" s="198" t="s">
        <v>602</v>
      </c>
      <c r="B15" s="9">
        <f>SUM(B4:B14)</f>
        <v>0</v>
      </c>
      <c r="C15" s="9">
        <f t="shared" ref="C15:AK15" si="1">SUM(C4:C14)</f>
        <v>0</v>
      </c>
      <c r="D15" s="9">
        <f t="shared" si="1"/>
        <v>6.25</v>
      </c>
      <c r="E15" s="9">
        <f t="shared" si="1"/>
        <v>12.5</v>
      </c>
      <c r="F15" s="9">
        <f t="shared" si="1"/>
        <v>14.25</v>
      </c>
      <c r="G15" s="9">
        <f t="shared" si="1"/>
        <v>8</v>
      </c>
      <c r="H15" s="9">
        <f t="shared" si="1"/>
        <v>0</v>
      </c>
      <c r="I15" s="9">
        <f t="shared" si="1"/>
        <v>6.25</v>
      </c>
      <c r="J15" s="9">
        <f t="shared" si="1"/>
        <v>6.25</v>
      </c>
      <c r="K15" s="9">
        <f t="shared" si="1"/>
        <v>15.625</v>
      </c>
      <c r="L15" s="9">
        <f t="shared" si="1"/>
        <v>15.625</v>
      </c>
      <c r="M15" s="9">
        <f t="shared" si="1"/>
        <v>7.5</v>
      </c>
      <c r="N15" s="9">
        <f t="shared" si="1"/>
        <v>7.5</v>
      </c>
      <c r="O15" s="9">
        <f t="shared" si="1"/>
        <v>9.375</v>
      </c>
      <c r="P15" s="9">
        <f t="shared" si="1"/>
        <v>9.375</v>
      </c>
      <c r="Q15" s="9">
        <f t="shared" si="1"/>
        <v>14.25</v>
      </c>
      <c r="R15" s="9">
        <f t="shared" si="1"/>
        <v>14.25</v>
      </c>
      <c r="S15" s="9">
        <f t="shared" si="1"/>
        <v>15.625</v>
      </c>
      <c r="T15" s="9">
        <f t="shared" si="1"/>
        <v>15.625</v>
      </c>
      <c r="U15" s="9">
        <f t="shared" si="1"/>
        <v>7.5</v>
      </c>
      <c r="V15" s="9">
        <f t="shared" si="1"/>
        <v>7.5</v>
      </c>
      <c r="W15" s="9">
        <f t="shared" si="1"/>
        <v>9.375</v>
      </c>
      <c r="X15" s="9">
        <f t="shared" si="1"/>
        <v>9.375</v>
      </c>
      <c r="Y15" s="9">
        <f t="shared" si="1"/>
        <v>0</v>
      </c>
      <c r="Z15" s="9">
        <f t="shared" si="1"/>
        <v>22.5</v>
      </c>
      <c r="AA15" s="9">
        <f t="shared" si="1"/>
        <v>22.5</v>
      </c>
      <c r="AB15" s="9">
        <f t="shared" si="1"/>
        <v>0</v>
      </c>
      <c r="AC15" s="9">
        <f t="shared" si="1"/>
        <v>0</v>
      </c>
      <c r="AD15" s="9">
        <f t="shared" si="1"/>
        <v>0</v>
      </c>
      <c r="AE15" s="9">
        <f t="shared" si="1"/>
        <v>0</v>
      </c>
      <c r="AF15" s="9">
        <f t="shared" si="1"/>
        <v>0</v>
      </c>
      <c r="AG15" s="9">
        <f t="shared" si="1"/>
        <v>0</v>
      </c>
      <c r="AH15" s="9">
        <f t="shared" si="1"/>
        <v>0</v>
      </c>
      <c r="AI15" s="9">
        <f t="shared" si="1"/>
        <v>0</v>
      </c>
      <c r="AJ15" s="9">
        <f t="shared" si="1"/>
        <v>0</v>
      </c>
      <c r="AK15" s="9">
        <f t="shared" si="1"/>
        <v>0</v>
      </c>
      <c r="AL15" s="157">
        <f>SUM(AL4:AL14)</f>
        <v>257</v>
      </c>
    </row>
    <row r="16" spans="1:41" s="169" customFormat="1" ht="10.199999999999999" customHeight="1" x14ac:dyDescent="0.3">
      <c r="A16" s="16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175"/>
    </row>
    <row r="17" spans="1:38" ht="30" customHeight="1" x14ac:dyDescent="0.3">
      <c r="A17" s="160" t="str">
        <f>+Dados!A19</f>
        <v>Trator 53 cv (39 kW)
LinhaNº4 (IHERA)</v>
      </c>
      <c r="B17" s="9">
        <f t="shared" ref="B17:K17" si="2">+B4+B6+B7+B12</f>
        <v>0</v>
      </c>
      <c r="C17" s="9">
        <f t="shared" si="2"/>
        <v>0</v>
      </c>
      <c r="D17" s="9">
        <f t="shared" si="2"/>
        <v>6.25</v>
      </c>
      <c r="E17" s="9">
        <f t="shared" si="2"/>
        <v>6.25</v>
      </c>
      <c r="F17" s="9">
        <f t="shared" si="2"/>
        <v>8</v>
      </c>
      <c r="G17" s="9">
        <f t="shared" si="2"/>
        <v>8</v>
      </c>
      <c r="H17" s="9">
        <f t="shared" si="2"/>
        <v>0</v>
      </c>
      <c r="I17" s="9">
        <f t="shared" si="2"/>
        <v>0</v>
      </c>
      <c r="J17" s="9">
        <f t="shared" si="2"/>
        <v>0</v>
      </c>
      <c r="K17" s="9">
        <f t="shared" si="2"/>
        <v>9.375</v>
      </c>
      <c r="L17" s="9">
        <f>+L4+L6+L7+L12</f>
        <v>9.375</v>
      </c>
      <c r="M17" s="9">
        <f t="shared" ref="M17:AK17" si="3">+M4+M6+M7+M12</f>
        <v>0</v>
      </c>
      <c r="N17" s="9">
        <f t="shared" si="3"/>
        <v>0</v>
      </c>
      <c r="O17" s="9">
        <f t="shared" si="3"/>
        <v>9.375</v>
      </c>
      <c r="P17" s="9">
        <f t="shared" si="3"/>
        <v>9.375</v>
      </c>
      <c r="Q17" s="9">
        <f t="shared" si="3"/>
        <v>8</v>
      </c>
      <c r="R17" s="9">
        <f t="shared" si="3"/>
        <v>8</v>
      </c>
      <c r="S17" s="9">
        <f t="shared" si="3"/>
        <v>9.375</v>
      </c>
      <c r="T17" s="9">
        <f t="shared" si="3"/>
        <v>9.375</v>
      </c>
      <c r="U17" s="9">
        <f t="shared" si="3"/>
        <v>0</v>
      </c>
      <c r="V17" s="9">
        <f t="shared" si="3"/>
        <v>0</v>
      </c>
      <c r="W17" s="9">
        <f t="shared" si="3"/>
        <v>9.375</v>
      </c>
      <c r="X17" s="9">
        <f t="shared" si="3"/>
        <v>9.375</v>
      </c>
      <c r="Y17" s="9">
        <f t="shared" si="3"/>
        <v>0</v>
      </c>
      <c r="Z17" s="9">
        <f t="shared" si="3"/>
        <v>11.25</v>
      </c>
      <c r="AA17" s="9">
        <f t="shared" si="3"/>
        <v>11.25</v>
      </c>
      <c r="AB17" s="9">
        <f t="shared" si="3"/>
        <v>0</v>
      </c>
      <c r="AC17" s="9">
        <f t="shared" si="3"/>
        <v>0</v>
      </c>
      <c r="AD17" s="9">
        <f t="shared" si="3"/>
        <v>0</v>
      </c>
      <c r="AE17" s="9">
        <f t="shared" si="3"/>
        <v>0</v>
      </c>
      <c r="AF17" s="9">
        <f t="shared" si="3"/>
        <v>0</v>
      </c>
      <c r="AG17" s="9">
        <f t="shared" si="3"/>
        <v>0</v>
      </c>
      <c r="AH17" s="9">
        <f t="shared" si="3"/>
        <v>0</v>
      </c>
      <c r="AI17" s="9">
        <f t="shared" si="3"/>
        <v>0</v>
      </c>
      <c r="AJ17" s="9">
        <f t="shared" si="3"/>
        <v>0</v>
      </c>
      <c r="AK17" s="9">
        <f t="shared" si="3"/>
        <v>0</v>
      </c>
      <c r="AL17" s="161">
        <f t="shared" si="0"/>
        <v>142</v>
      </c>
    </row>
    <row r="18" spans="1:38" ht="30" customHeight="1" x14ac:dyDescent="0.3">
      <c r="A18" s="160" t="str">
        <f>+Dados!A20</f>
        <v>Trator 45 cv (33 kW)
LinhaNº3 (IHERA)</v>
      </c>
      <c r="B18" s="9">
        <f t="shared" ref="B18:K18" si="4">+B5+B8+B9+B10+B11+B13</f>
        <v>0</v>
      </c>
      <c r="C18" s="9">
        <f t="shared" si="4"/>
        <v>0</v>
      </c>
      <c r="D18" s="9">
        <f t="shared" si="4"/>
        <v>0</v>
      </c>
      <c r="E18" s="9">
        <f t="shared" si="4"/>
        <v>6.25</v>
      </c>
      <c r="F18" s="9">
        <f t="shared" si="4"/>
        <v>6.25</v>
      </c>
      <c r="G18" s="9">
        <f t="shared" si="4"/>
        <v>0</v>
      </c>
      <c r="H18" s="9">
        <f t="shared" si="4"/>
        <v>0</v>
      </c>
      <c r="I18" s="9">
        <f t="shared" si="4"/>
        <v>6.25</v>
      </c>
      <c r="J18" s="9">
        <f t="shared" si="4"/>
        <v>6.25</v>
      </c>
      <c r="K18" s="9">
        <f t="shared" si="4"/>
        <v>6.25</v>
      </c>
      <c r="L18" s="9">
        <f>+L5+L8+L9+L10+L11+L13</f>
        <v>6.25</v>
      </c>
      <c r="M18" s="9">
        <f t="shared" ref="M18:AK18" si="5">+M5+M8+M9+M10+M11+M13</f>
        <v>7.5</v>
      </c>
      <c r="N18" s="9">
        <f t="shared" si="5"/>
        <v>7.5</v>
      </c>
      <c r="O18" s="9">
        <f t="shared" si="5"/>
        <v>0</v>
      </c>
      <c r="P18" s="9">
        <f t="shared" si="5"/>
        <v>0</v>
      </c>
      <c r="Q18" s="9">
        <f t="shared" si="5"/>
        <v>6.25</v>
      </c>
      <c r="R18" s="9">
        <f t="shared" si="5"/>
        <v>6.25</v>
      </c>
      <c r="S18" s="9">
        <f t="shared" si="5"/>
        <v>6.25</v>
      </c>
      <c r="T18" s="9">
        <f t="shared" si="5"/>
        <v>6.25</v>
      </c>
      <c r="U18" s="9">
        <f t="shared" si="5"/>
        <v>7.5</v>
      </c>
      <c r="V18" s="9">
        <f t="shared" si="5"/>
        <v>7.5</v>
      </c>
      <c r="W18" s="9">
        <f t="shared" si="5"/>
        <v>0</v>
      </c>
      <c r="X18" s="9">
        <f t="shared" si="5"/>
        <v>0</v>
      </c>
      <c r="Y18" s="9">
        <f t="shared" si="5"/>
        <v>0</v>
      </c>
      <c r="Z18" s="9">
        <f t="shared" si="5"/>
        <v>11.25</v>
      </c>
      <c r="AA18" s="9">
        <f t="shared" si="5"/>
        <v>11.25</v>
      </c>
      <c r="AB18" s="9">
        <f t="shared" si="5"/>
        <v>0</v>
      </c>
      <c r="AC18" s="9">
        <f t="shared" si="5"/>
        <v>0</v>
      </c>
      <c r="AD18" s="9">
        <f t="shared" si="5"/>
        <v>0</v>
      </c>
      <c r="AE18" s="9">
        <f t="shared" si="5"/>
        <v>0</v>
      </c>
      <c r="AF18" s="9">
        <f t="shared" si="5"/>
        <v>0</v>
      </c>
      <c r="AG18" s="9">
        <f t="shared" si="5"/>
        <v>0</v>
      </c>
      <c r="AH18" s="9">
        <f t="shared" si="5"/>
        <v>0</v>
      </c>
      <c r="AI18" s="9">
        <f t="shared" si="5"/>
        <v>0</v>
      </c>
      <c r="AJ18" s="9">
        <f t="shared" si="5"/>
        <v>0</v>
      </c>
      <c r="AK18" s="9">
        <f t="shared" si="5"/>
        <v>0</v>
      </c>
      <c r="AL18" s="161">
        <f t="shared" si="0"/>
        <v>115</v>
      </c>
    </row>
    <row r="19" spans="1:38" ht="30" customHeight="1" x14ac:dyDescent="0.3">
      <c r="A19" s="160" t="s">
        <v>40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161">
        <f t="shared" si="0"/>
        <v>0</v>
      </c>
    </row>
    <row r="20" spans="1:38" ht="30" customHeight="1" x14ac:dyDescent="0.3">
      <c r="A20" s="162" t="s">
        <v>601</v>
      </c>
      <c r="B20" s="9">
        <f t="shared" ref="B20:K20" si="6">SUM(B17:B19)</f>
        <v>0</v>
      </c>
      <c r="C20" s="9">
        <f t="shared" si="6"/>
        <v>0</v>
      </c>
      <c r="D20" s="9">
        <f t="shared" si="6"/>
        <v>6.25</v>
      </c>
      <c r="E20" s="9">
        <f t="shared" si="6"/>
        <v>12.5</v>
      </c>
      <c r="F20" s="9">
        <f t="shared" si="6"/>
        <v>14.25</v>
      </c>
      <c r="G20" s="9">
        <f t="shared" si="6"/>
        <v>8</v>
      </c>
      <c r="H20" s="9">
        <f t="shared" si="6"/>
        <v>0</v>
      </c>
      <c r="I20" s="9">
        <f t="shared" si="6"/>
        <v>6.25</v>
      </c>
      <c r="J20" s="9">
        <f t="shared" si="6"/>
        <v>6.25</v>
      </c>
      <c r="K20" s="9">
        <f t="shared" si="6"/>
        <v>15.625</v>
      </c>
      <c r="L20" s="9">
        <f t="shared" ref="L20:AK20" si="7">SUM(L17:L19)</f>
        <v>15.625</v>
      </c>
      <c r="M20" s="9">
        <f t="shared" si="7"/>
        <v>7.5</v>
      </c>
      <c r="N20" s="9">
        <f t="shared" si="7"/>
        <v>7.5</v>
      </c>
      <c r="O20" s="9">
        <f t="shared" si="7"/>
        <v>9.375</v>
      </c>
      <c r="P20" s="9">
        <f t="shared" si="7"/>
        <v>9.375</v>
      </c>
      <c r="Q20" s="9">
        <f t="shared" si="7"/>
        <v>14.25</v>
      </c>
      <c r="R20" s="9">
        <f t="shared" si="7"/>
        <v>14.25</v>
      </c>
      <c r="S20" s="9">
        <f t="shared" si="7"/>
        <v>15.625</v>
      </c>
      <c r="T20" s="9">
        <f t="shared" si="7"/>
        <v>15.625</v>
      </c>
      <c r="U20" s="9">
        <f t="shared" si="7"/>
        <v>7.5</v>
      </c>
      <c r="V20" s="9">
        <f t="shared" si="7"/>
        <v>7.5</v>
      </c>
      <c r="W20" s="9">
        <f t="shared" si="7"/>
        <v>9.375</v>
      </c>
      <c r="X20" s="9">
        <f t="shared" si="7"/>
        <v>9.375</v>
      </c>
      <c r="Y20" s="9">
        <f t="shared" si="7"/>
        <v>0</v>
      </c>
      <c r="Z20" s="9">
        <f t="shared" si="7"/>
        <v>22.5</v>
      </c>
      <c r="AA20" s="9">
        <f t="shared" si="7"/>
        <v>22.5</v>
      </c>
      <c r="AB20" s="9">
        <f t="shared" si="7"/>
        <v>0</v>
      </c>
      <c r="AC20" s="9">
        <f t="shared" si="7"/>
        <v>0</v>
      </c>
      <c r="AD20" s="9">
        <f t="shared" si="7"/>
        <v>0</v>
      </c>
      <c r="AE20" s="9">
        <f t="shared" si="7"/>
        <v>0</v>
      </c>
      <c r="AF20" s="9">
        <f t="shared" si="7"/>
        <v>0</v>
      </c>
      <c r="AG20" s="9">
        <f t="shared" si="7"/>
        <v>0</v>
      </c>
      <c r="AH20" s="9">
        <f t="shared" si="7"/>
        <v>0</v>
      </c>
      <c r="AI20" s="9">
        <f t="shared" si="7"/>
        <v>0</v>
      </c>
      <c r="AJ20" s="9">
        <f t="shared" si="7"/>
        <v>0</v>
      </c>
      <c r="AK20" s="9">
        <f t="shared" si="7"/>
        <v>0</v>
      </c>
      <c r="AL20" s="157">
        <f>SUM(AL17:AL19)</f>
        <v>257</v>
      </c>
    </row>
    <row r="21" spans="1:38" s="169" customFormat="1" ht="10.199999999999999" customHeight="1" x14ac:dyDescent="0.3">
      <c r="A21" s="16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161"/>
    </row>
    <row r="22" spans="1:38" s="169" customFormat="1" ht="30" customHeight="1" x14ac:dyDescent="0.3">
      <c r="A22" s="170" t="s">
        <v>599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107"/>
    </row>
    <row r="23" spans="1:38" s="169" customFormat="1" ht="30" customHeight="1" x14ac:dyDescent="0.3">
      <c r="A23" s="170" t="str">
        <f>+Dados!A54</f>
        <v xml:space="preserve">Tratorista 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208">
        <f>+AL20</f>
        <v>257</v>
      </c>
    </row>
    <row r="24" spans="1:38" s="169" customFormat="1" ht="30" customHeight="1" x14ac:dyDescent="0.3">
      <c r="A24" s="160" t="str">
        <f>+Dados!A55</f>
        <v xml:space="preserve">Trabalhadores 
permanentes 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107">
        <f>+Dados!N55*Cal_Cult!B3</f>
        <v>4840</v>
      </c>
    </row>
    <row r="25" spans="1:38" s="169" customFormat="1" ht="30" customHeight="1" x14ac:dyDescent="0.3">
      <c r="A25" s="160" t="s">
        <v>40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208"/>
    </row>
    <row r="26" spans="1:38" s="169" customFormat="1" ht="30" customHeight="1" x14ac:dyDescent="0.3">
      <c r="A26" s="162" t="s">
        <v>604</v>
      </c>
      <c r="B26" s="9">
        <f t="shared" ref="B26:AK26" si="8">SUM(B24:B24)</f>
        <v>0</v>
      </c>
      <c r="C26" s="9">
        <f t="shared" si="8"/>
        <v>0</v>
      </c>
      <c r="D26" s="9">
        <f t="shared" si="8"/>
        <v>0</v>
      </c>
      <c r="E26" s="9">
        <f t="shared" si="8"/>
        <v>0</v>
      </c>
      <c r="F26" s="9">
        <f t="shared" si="8"/>
        <v>0</v>
      </c>
      <c r="G26" s="9">
        <f t="shared" si="8"/>
        <v>0</v>
      </c>
      <c r="H26" s="9">
        <f t="shared" si="8"/>
        <v>0</v>
      </c>
      <c r="I26" s="9">
        <f t="shared" si="8"/>
        <v>0</v>
      </c>
      <c r="J26" s="9">
        <f t="shared" si="8"/>
        <v>0</v>
      </c>
      <c r="K26" s="9">
        <f t="shared" si="8"/>
        <v>0</v>
      </c>
      <c r="L26" s="9">
        <f t="shared" si="8"/>
        <v>0</v>
      </c>
      <c r="M26" s="9">
        <f t="shared" si="8"/>
        <v>0</v>
      </c>
      <c r="N26" s="9">
        <f t="shared" si="8"/>
        <v>0</v>
      </c>
      <c r="O26" s="9">
        <f t="shared" si="8"/>
        <v>0</v>
      </c>
      <c r="P26" s="9">
        <f t="shared" si="8"/>
        <v>0</v>
      </c>
      <c r="Q26" s="9">
        <f t="shared" si="8"/>
        <v>0</v>
      </c>
      <c r="R26" s="9">
        <f t="shared" si="8"/>
        <v>0</v>
      </c>
      <c r="S26" s="9">
        <f t="shared" si="8"/>
        <v>0</v>
      </c>
      <c r="T26" s="9">
        <f t="shared" si="8"/>
        <v>0</v>
      </c>
      <c r="U26" s="9">
        <f t="shared" si="8"/>
        <v>0</v>
      </c>
      <c r="V26" s="9">
        <f t="shared" si="8"/>
        <v>0</v>
      </c>
      <c r="W26" s="9">
        <f t="shared" si="8"/>
        <v>0</v>
      </c>
      <c r="X26" s="9">
        <f t="shared" si="8"/>
        <v>0</v>
      </c>
      <c r="Y26" s="9">
        <f t="shared" si="8"/>
        <v>0</v>
      </c>
      <c r="Z26" s="9">
        <f t="shared" si="8"/>
        <v>0</v>
      </c>
      <c r="AA26" s="9">
        <f t="shared" si="8"/>
        <v>0</v>
      </c>
      <c r="AB26" s="9">
        <f t="shared" si="8"/>
        <v>0</v>
      </c>
      <c r="AC26" s="9">
        <f t="shared" si="8"/>
        <v>0</v>
      </c>
      <c r="AD26" s="9">
        <f t="shared" si="8"/>
        <v>0</v>
      </c>
      <c r="AE26" s="9">
        <f t="shared" si="8"/>
        <v>0</v>
      </c>
      <c r="AF26" s="9">
        <f t="shared" si="8"/>
        <v>0</v>
      </c>
      <c r="AG26" s="9">
        <f t="shared" si="8"/>
        <v>0</v>
      </c>
      <c r="AH26" s="9">
        <f t="shared" si="8"/>
        <v>0</v>
      </c>
      <c r="AI26" s="9">
        <f t="shared" si="8"/>
        <v>0</v>
      </c>
      <c r="AJ26" s="9">
        <f t="shared" si="8"/>
        <v>0</v>
      </c>
      <c r="AK26" s="9">
        <f t="shared" si="8"/>
        <v>0</v>
      </c>
      <c r="AL26" s="157">
        <f>SUM(AL22:AL25)</f>
        <v>5097</v>
      </c>
    </row>
    <row r="27" spans="1:38" s="169" customFormat="1" ht="10.199999999999999" customHeight="1" x14ac:dyDescent="0.3">
      <c r="A27" s="16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197"/>
    </row>
    <row r="28" spans="1:38" ht="25.2" customHeight="1" x14ac:dyDescent="0.3">
      <c r="A28" s="170" t="s">
        <v>598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07"/>
    </row>
    <row r="29" spans="1:38" ht="25.2" customHeight="1" x14ac:dyDescent="0.3">
      <c r="A29" s="160" t="str">
        <f>+Dados!A58</f>
        <v>poda</v>
      </c>
      <c r="B29" s="9"/>
      <c r="C29" s="9"/>
      <c r="D29" s="9">
        <f>+$B$3*Dados!G11/3</f>
        <v>250</v>
      </c>
      <c r="E29" s="9">
        <f>+D29</f>
        <v>250</v>
      </c>
      <c r="F29" s="9">
        <f>+D29</f>
        <v>250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92">
        <f>SUM(B29:AK29)</f>
        <v>750</v>
      </c>
    </row>
    <row r="30" spans="1:38" ht="25.2" customHeight="1" x14ac:dyDescent="0.3">
      <c r="A30" s="160" t="str">
        <f>+Dados!A61</f>
        <v>enrola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f>+$B$3*Dados!G12/2</f>
        <v>300</v>
      </c>
      <c r="O30" s="9">
        <f>+N30</f>
        <v>300</v>
      </c>
      <c r="P30" s="9"/>
      <c r="Q30" s="9"/>
      <c r="R30" s="9"/>
      <c r="S30" s="9">
        <f>+N30</f>
        <v>300</v>
      </c>
      <c r="T30" s="9">
        <f>+N30</f>
        <v>300</v>
      </c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212">
        <f>SUM(B30:AK30)</f>
        <v>1200</v>
      </c>
    </row>
    <row r="31" spans="1:38" ht="25.2" customHeight="1" x14ac:dyDescent="0.3">
      <c r="A31" s="160" t="str">
        <f>+Dados!A62</f>
        <v>vindima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>
        <f>+$B$3*Dados!G10/2</f>
        <v>225</v>
      </c>
      <c r="AA31" s="9">
        <f>+Z31</f>
        <v>225</v>
      </c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7">
        <f>SUM(B31:AK31)</f>
        <v>450</v>
      </c>
    </row>
    <row r="32" spans="1:38" ht="25.2" customHeight="1" x14ac:dyDescent="0.3">
      <c r="A32" s="160" t="s">
        <v>40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186"/>
    </row>
    <row r="33" spans="1:38" ht="25.2" customHeight="1" x14ac:dyDescent="0.3">
      <c r="A33" s="162" t="s">
        <v>603</v>
      </c>
      <c r="B33" s="9">
        <f>SUM(B29:B32)</f>
        <v>0</v>
      </c>
      <c r="C33" s="9">
        <f t="shared" ref="C33:AK33" si="9">SUM(C29:C32)</f>
        <v>0</v>
      </c>
      <c r="D33" s="9">
        <f t="shared" si="9"/>
        <v>250</v>
      </c>
      <c r="E33" s="9">
        <f t="shared" si="9"/>
        <v>250</v>
      </c>
      <c r="F33" s="9">
        <f t="shared" si="9"/>
        <v>250</v>
      </c>
      <c r="G33" s="9">
        <f t="shared" si="9"/>
        <v>0</v>
      </c>
      <c r="H33" s="9">
        <f t="shared" si="9"/>
        <v>0</v>
      </c>
      <c r="I33" s="9">
        <f t="shared" si="9"/>
        <v>0</v>
      </c>
      <c r="J33" s="9">
        <f t="shared" si="9"/>
        <v>0</v>
      </c>
      <c r="K33" s="9">
        <f t="shared" si="9"/>
        <v>0</v>
      </c>
      <c r="L33" s="9">
        <f t="shared" si="9"/>
        <v>0</v>
      </c>
      <c r="M33" s="9">
        <f t="shared" si="9"/>
        <v>0</v>
      </c>
      <c r="N33" s="9">
        <f t="shared" si="9"/>
        <v>300</v>
      </c>
      <c r="O33" s="9">
        <f t="shared" si="9"/>
        <v>300</v>
      </c>
      <c r="P33" s="9">
        <f t="shared" si="9"/>
        <v>0</v>
      </c>
      <c r="Q33" s="9">
        <f t="shared" si="9"/>
        <v>0</v>
      </c>
      <c r="R33" s="9">
        <f t="shared" si="9"/>
        <v>0</v>
      </c>
      <c r="S33" s="9">
        <f t="shared" si="9"/>
        <v>300</v>
      </c>
      <c r="T33" s="9">
        <f t="shared" si="9"/>
        <v>300</v>
      </c>
      <c r="U33" s="9">
        <f t="shared" si="9"/>
        <v>0</v>
      </c>
      <c r="V33" s="9">
        <f t="shared" si="9"/>
        <v>0</v>
      </c>
      <c r="W33" s="9">
        <f t="shared" si="9"/>
        <v>0</v>
      </c>
      <c r="X33" s="9">
        <f t="shared" si="9"/>
        <v>0</v>
      </c>
      <c r="Y33" s="9">
        <f t="shared" si="9"/>
        <v>0</v>
      </c>
      <c r="Z33" s="9">
        <f t="shared" si="9"/>
        <v>225</v>
      </c>
      <c r="AA33" s="9">
        <f t="shared" si="9"/>
        <v>225</v>
      </c>
      <c r="AB33" s="9">
        <f t="shared" si="9"/>
        <v>0</v>
      </c>
      <c r="AC33" s="9">
        <f t="shared" si="9"/>
        <v>0</v>
      </c>
      <c r="AD33" s="9">
        <f t="shared" si="9"/>
        <v>0</v>
      </c>
      <c r="AE33" s="9">
        <f t="shared" si="9"/>
        <v>0</v>
      </c>
      <c r="AF33" s="9">
        <f t="shared" si="9"/>
        <v>0</v>
      </c>
      <c r="AG33" s="9">
        <f t="shared" si="9"/>
        <v>0</v>
      </c>
      <c r="AH33" s="9">
        <f t="shared" si="9"/>
        <v>0</v>
      </c>
      <c r="AI33" s="9">
        <f t="shared" si="9"/>
        <v>0</v>
      </c>
      <c r="AJ33" s="9">
        <f t="shared" si="9"/>
        <v>0</v>
      </c>
      <c r="AK33" s="9">
        <f t="shared" si="9"/>
        <v>0</v>
      </c>
      <c r="AL33" s="157">
        <f>SUM(AL28:AL32)</f>
        <v>2400</v>
      </c>
    </row>
    <row r="34" spans="1:38" s="169" customFormat="1" ht="10.199999999999999" customHeight="1" x14ac:dyDescent="0.3">
      <c r="A34" s="165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197"/>
    </row>
    <row r="35" spans="1:38" s="169" customFormat="1" ht="10.199999999999999" customHeight="1" x14ac:dyDescent="0.3">
      <c r="A35" s="165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175"/>
    </row>
    <row r="36" spans="1:38" ht="25.2" customHeight="1" x14ac:dyDescent="0.3">
      <c r="A36" s="163" t="s">
        <v>49</v>
      </c>
      <c r="B36" s="228">
        <f>+Dados!G3</f>
        <v>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108"/>
    </row>
    <row r="37" spans="1:38" ht="30" customHeight="1" x14ac:dyDescent="0.3">
      <c r="A37" s="159" t="s">
        <v>553</v>
      </c>
      <c r="B37" s="9"/>
      <c r="C37" s="9"/>
      <c r="D37" s="9">
        <f>+$B$36*Dados!K41/2</f>
        <v>3.125</v>
      </c>
      <c r="E37" s="9">
        <f>+D37</f>
        <v>3.125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107">
        <f t="shared" ref="AL37:AL51" si="10">SUM(B37:AK37)</f>
        <v>6.25</v>
      </c>
    </row>
    <row r="38" spans="1:38" ht="30" customHeight="1" x14ac:dyDescent="0.3">
      <c r="A38" s="159" t="s">
        <v>576</v>
      </c>
      <c r="B38" s="9"/>
      <c r="C38" s="9"/>
      <c r="D38" s="9"/>
      <c r="E38" s="9">
        <f>+$B$36*Dados!K42/2</f>
        <v>3.125</v>
      </c>
      <c r="F38" s="9">
        <f>+E38</f>
        <v>3.125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107">
        <f t="shared" si="10"/>
        <v>6.25</v>
      </c>
    </row>
    <row r="39" spans="1:38" ht="30" customHeight="1" x14ac:dyDescent="0.3">
      <c r="A39" s="159" t="s">
        <v>554</v>
      </c>
      <c r="B39" s="9"/>
      <c r="C39" s="9"/>
      <c r="D39" s="9"/>
      <c r="E39" s="9"/>
      <c r="F39" s="9">
        <f>$B$36*Dados!K43/4</f>
        <v>4</v>
      </c>
      <c r="G39" s="9">
        <f>+F39</f>
        <v>4</v>
      </c>
      <c r="H39" s="9"/>
      <c r="I39" s="9"/>
      <c r="J39" s="9"/>
      <c r="K39" s="9"/>
      <c r="L39" s="9"/>
      <c r="M39" s="9"/>
      <c r="N39" s="9"/>
      <c r="O39" s="9"/>
      <c r="P39" s="9"/>
      <c r="Q39" s="9">
        <f>+F39</f>
        <v>4</v>
      </c>
      <c r="R39" s="9">
        <f>+F39</f>
        <v>4</v>
      </c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107">
        <f t="shared" si="10"/>
        <v>16</v>
      </c>
    </row>
    <row r="40" spans="1:38" ht="30" customHeight="1" x14ac:dyDescent="0.3">
      <c r="A40" s="159" t="s">
        <v>557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107">
        <f t="shared" si="10"/>
        <v>0</v>
      </c>
    </row>
    <row r="41" spans="1:38" ht="30" customHeight="1" x14ac:dyDescent="0.3">
      <c r="A41" s="159" t="s">
        <v>559</v>
      </c>
      <c r="B41" s="9"/>
      <c r="C41" s="9"/>
      <c r="D41" s="9"/>
      <c r="E41" s="9"/>
      <c r="F41" s="9"/>
      <c r="G41" s="9"/>
      <c r="H41" s="9"/>
      <c r="I41" s="9"/>
      <c r="J41" s="9"/>
      <c r="K41" s="9">
        <f>$B$36*Dados!K45/8</f>
        <v>4.6875</v>
      </c>
      <c r="L41" s="9">
        <f>+K41</f>
        <v>4.6875</v>
      </c>
      <c r="M41" s="9"/>
      <c r="N41" s="9"/>
      <c r="O41" s="9">
        <f>+K41</f>
        <v>4.6875</v>
      </c>
      <c r="P41" s="9">
        <f>+K41</f>
        <v>4.6875</v>
      </c>
      <c r="Q41" s="9"/>
      <c r="R41" s="9"/>
      <c r="S41" s="9">
        <f>+K41</f>
        <v>4.6875</v>
      </c>
      <c r="T41" s="9">
        <f>+K41</f>
        <v>4.6875</v>
      </c>
      <c r="U41" s="9"/>
      <c r="V41" s="9"/>
      <c r="W41" s="9">
        <f>+K41</f>
        <v>4.6875</v>
      </c>
      <c r="X41" s="9">
        <f>+K41</f>
        <v>4.6875</v>
      </c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107">
        <f t="shared" si="10"/>
        <v>37.5</v>
      </c>
    </row>
    <row r="42" spans="1:38" ht="30" customHeight="1" x14ac:dyDescent="0.3">
      <c r="A42" s="159" t="s">
        <v>535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>
        <f>$B$36*Dados!K46/4</f>
        <v>3.75</v>
      </c>
      <c r="N42" s="9">
        <f>+M42</f>
        <v>3.75</v>
      </c>
      <c r="O42" s="9"/>
      <c r="P42" s="9"/>
      <c r="Q42" s="9"/>
      <c r="R42" s="9"/>
      <c r="S42" s="9"/>
      <c r="T42" s="9"/>
      <c r="U42" s="9">
        <f>+M42</f>
        <v>3.75</v>
      </c>
      <c r="V42" s="9">
        <f>+M42</f>
        <v>3.75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107">
        <f t="shared" si="10"/>
        <v>15</v>
      </c>
    </row>
    <row r="43" spans="1:38" ht="30" customHeight="1" x14ac:dyDescent="0.3">
      <c r="A43" s="159" t="s">
        <v>560</v>
      </c>
      <c r="B43" s="9"/>
      <c r="C43" s="9"/>
      <c r="D43" s="9"/>
      <c r="E43" s="9"/>
      <c r="F43" s="9"/>
      <c r="G43" s="9"/>
      <c r="H43" s="9"/>
      <c r="I43" s="9">
        <f>$B$36*Dados!K47/4</f>
        <v>3.125</v>
      </c>
      <c r="J43" s="9">
        <f>+I43</f>
        <v>3.125</v>
      </c>
      <c r="K43" s="9"/>
      <c r="L43" s="9"/>
      <c r="M43" s="9"/>
      <c r="N43" s="9"/>
      <c r="O43" s="9"/>
      <c r="P43" s="9"/>
      <c r="Q43" s="9">
        <f>+I43</f>
        <v>3.125</v>
      </c>
      <c r="R43" s="9">
        <f>+I43</f>
        <v>3.125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107">
        <f t="shared" si="10"/>
        <v>12.5</v>
      </c>
    </row>
    <row r="44" spans="1:38" ht="30" customHeight="1" x14ac:dyDescent="0.3">
      <c r="A44" s="159" t="s">
        <v>567</v>
      </c>
      <c r="B44" s="9"/>
      <c r="C44" s="9"/>
      <c r="D44" s="9"/>
      <c r="E44" s="9"/>
      <c r="F44" s="9"/>
      <c r="G44" s="9"/>
      <c r="H44" s="9"/>
      <c r="I44" s="9"/>
      <c r="J44" s="9"/>
      <c r="K44" s="9">
        <f>$B$36*Dados!K48/4</f>
        <v>3.125</v>
      </c>
      <c r="L44" s="9">
        <f>+K44</f>
        <v>3.125</v>
      </c>
      <c r="M44" s="9"/>
      <c r="N44" s="9"/>
      <c r="O44" s="9"/>
      <c r="P44" s="9"/>
      <c r="Q44" s="9"/>
      <c r="R44" s="9"/>
      <c r="S44" s="9">
        <f>+K44</f>
        <v>3.125</v>
      </c>
      <c r="T44" s="9">
        <f>+L44</f>
        <v>3.125</v>
      </c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107">
        <f t="shared" si="10"/>
        <v>12.5</v>
      </c>
    </row>
    <row r="45" spans="1:38" ht="30" customHeight="1" x14ac:dyDescent="0.3">
      <c r="A45" s="159" t="s">
        <v>536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>
        <f>+Dados!L49*Dados!G3/Dados!G4/2</f>
        <v>5.625</v>
      </c>
      <c r="AA45" s="9">
        <f>+Z45</f>
        <v>5.625</v>
      </c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107">
        <f t="shared" si="10"/>
        <v>11.25</v>
      </c>
    </row>
    <row r="46" spans="1:38" ht="30" customHeight="1" x14ac:dyDescent="0.3">
      <c r="A46" s="159" t="s">
        <v>537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>
        <f>+Dados!L50*Dados!G3/Dados!G4/2</f>
        <v>5.625</v>
      </c>
      <c r="AA46" s="9">
        <f>+Z46</f>
        <v>5.625</v>
      </c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07">
        <f t="shared" si="10"/>
        <v>11.25</v>
      </c>
    </row>
    <row r="47" spans="1:38" ht="30" customHeight="1" x14ac:dyDescent="0.3">
      <c r="A47" s="159" t="s">
        <v>40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161"/>
    </row>
    <row r="48" spans="1:38" ht="30" customHeight="1" x14ac:dyDescent="0.3">
      <c r="A48" s="199" t="s">
        <v>602</v>
      </c>
      <c r="B48" s="108">
        <f>SUM(B37:B47)</f>
        <v>0</v>
      </c>
      <c r="C48" s="108">
        <f t="shared" ref="C48:AK48" si="11">SUM(C37:C47)</f>
        <v>0</v>
      </c>
      <c r="D48" s="108">
        <f t="shared" si="11"/>
        <v>3.125</v>
      </c>
      <c r="E48" s="108">
        <f t="shared" si="11"/>
        <v>6.25</v>
      </c>
      <c r="F48" s="108">
        <f t="shared" si="11"/>
        <v>7.125</v>
      </c>
      <c r="G48" s="108">
        <f t="shared" si="11"/>
        <v>4</v>
      </c>
      <c r="H48" s="108">
        <f t="shared" si="11"/>
        <v>0</v>
      </c>
      <c r="I48" s="108">
        <f t="shared" si="11"/>
        <v>3.125</v>
      </c>
      <c r="J48" s="108">
        <f t="shared" si="11"/>
        <v>3.125</v>
      </c>
      <c r="K48" s="108">
        <f t="shared" si="11"/>
        <v>7.8125</v>
      </c>
      <c r="L48" s="108">
        <f t="shared" si="11"/>
        <v>7.8125</v>
      </c>
      <c r="M48" s="108">
        <f t="shared" si="11"/>
        <v>3.75</v>
      </c>
      <c r="N48" s="108">
        <f t="shared" si="11"/>
        <v>3.75</v>
      </c>
      <c r="O48" s="108">
        <f t="shared" si="11"/>
        <v>4.6875</v>
      </c>
      <c r="P48" s="108">
        <f t="shared" si="11"/>
        <v>4.6875</v>
      </c>
      <c r="Q48" s="108">
        <f t="shared" si="11"/>
        <v>7.125</v>
      </c>
      <c r="R48" s="108">
        <f t="shared" si="11"/>
        <v>7.125</v>
      </c>
      <c r="S48" s="108">
        <f t="shared" si="11"/>
        <v>7.8125</v>
      </c>
      <c r="T48" s="108">
        <f t="shared" si="11"/>
        <v>7.8125</v>
      </c>
      <c r="U48" s="108">
        <f t="shared" si="11"/>
        <v>3.75</v>
      </c>
      <c r="V48" s="108">
        <f t="shared" si="11"/>
        <v>3.75</v>
      </c>
      <c r="W48" s="108">
        <f t="shared" si="11"/>
        <v>4.6875</v>
      </c>
      <c r="X48" s="108">
        <f t="shared" si="11"/>
        <v>4.6875</v>
      </c>
      <c r="Y48" s="108">
        <f t="shared" si="11"/>
        <v>0</v>
      </c>
      <c r="Z48" s="108">
        <f t="shared" si="11"/>
        <v>11.25</v>
      </c>
      <c r="AA48" s="108">
        <f t="shared" si="11"/>
        <v>11.25</v>
      </c>
      <c r="AB48" s="108">
        <f t="shared" si="11"/>
        <v>0</v>
      </c>
      <c r="AC48" s="108">
        <f t="shared" si="11"/>
        <v>0</v>
      </c>
      <c r="AD48" s="108">
        <f t="shared" si="11"/>
        <v>0</v>
      </c>
      <c r="AE48" s="108">
        <f t="shared" si="11"/>
        <v>0</v>
      </c>
      <c r="AF48" s="108">
        <f t="shared" si="11"/>
        <v>0</v>
      </c>
      <c r="AG48" s="108">
        <f t="shared" si="11"/>
        <v>0</v>
      </c>
      <c r="AH48" s="108">
        <f t="shared" si="11"/>
        <v>0</v>
      </c>
      <c r="AI48" s="108">
        <f t="shared" si="11"/>
        <v>0</v>
      </c>
      <c r="AJ48" s="108">
        <f t="shared" si="11"/>
        <v>0</v>
      </c>
      <c r="AK48" s="108">
        <f t="shared" si="11"/>
        <v>0</v>
      </c>
      <c r="AL48" s="173">
        <f>SUM(AL37:AL47)</f>
        <v>128.5</v>
      </c>
    </row>
    <row r="49" spans="1:38" s="169" customFormat="1" ht="10.199999999999999" customHeight="1" x14ac:dyDescent="0.3">
      <c r="A49" s="165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</row>
    <row r="50" spans="1:38" ht="30" customHeight="1" x14ac:dyDescent="0.3">
      <c r="A50" s="159" t="s">
        <v>515</v>
      </c>
      <c r="B50" s="9">
        <f>+B37+B39+B40+B45</f>
        <v>0</v>
      </c>
      <c r="C50" s="9">
        <f t="shared" ref="C50:AK50" si="12">+C37+C39+C40+C45</f>
        <v>0</v>
      </c>
      <c r="D50" s="9">
        <f t="shared" si="12"/>
        <v>3.125</v>
      </c>
      <c r="E50" s="9">
        <f t="shared" si="12"/>
        <v>3.125</v>
      </c>
      <c r="F50" s="9">
        <f t="shared" si="12"/>
        <v>4</v>
      </c>
      <c r="G50" s="9">
        <f t="shared" si="12"/>
        <v>4</v>
      </c>
      <c r="H50" s="9">
        <f t="shared" si="12"/>
        <v>0</v>
      </c>
      <c r="I50" s="9">
        <f t="shared" si="12"/>
        <v>0</v>
      </c>
      <c r="J50" s="9">
        <f t="shared" si="12"/>
        <v>0</v>
      </c>
      <c r="K50" s="9">
        <f t="shared" si="12"/>
        <v>0</v>
      </c>
      <c r="L50" s="9">
        <f t="shared" si="12"/>
        <v>0</v>
      </c>
      <c r="M50" s="9">
        <f t="shared" si="12"/>
        <v>0</v>
      </c>
      <c r="N50" s="9">
        <f t="shared" si="12"/>
        <v>0</v>
      </c>
      <c r="O50" s="9">
        <f t="shared" si="12"/>
        <v>0</v>
      </c>
      <c r="P50" s="9">
        <f t="shared" si="12"/>
        <v>0</v>
      </c>
      <c r="Q50" s="9">
        <f t="shared" si="12"/>
        <v>4</v>
      </c>
      <c r="R50" s="9">
        <f t="shared" si="12"/>
        <v>4</v>
      </c>
      <c r="S50" s="9">
        <f t="shared" si="12"/>
        <v>0</v>
      </c>
      <c r="T50" s="9">
        <f t="shared" si="12"/>
        <v>0</v>
      </c>
      <c r="U50" s="9">
        <f t="shared" si="12"/>
        <v>0</v>
      </c>
      <c r="V50" s="9">
        <f t="shared" si="12"/>
        <v>0</v>
      </c>
      <c r="W50" s="9">
        <f t="shared" si="12"/>
        <v>0</v>
      </c>
      <c r="X50" s="9">
        <f t="shared" si="12"/>
        <v>0</v>
      </c>
      <c r="Y50" s="9">
        <f t="shared" si="12"/>
        <v>0</v>
      </c>
      <c r="Z50" s="9">
        <f t="shared" si="12"/>
        <v>5.625</v>
      </c>
      <c r="AA50" s="9">
        <f t="shared" si="12"/>
        <v>5.625</v>
      </c>
      <c r="AB50" s="9">
        <f t="shared" si="12"/>
        <v>0</v>
      </c>
      <c r="AC50" s="9">
        <f t="shared" si="12"/>
        <v>0</v>
      </c>
      <c r="AD50" s="9">
        <f t="shared" si="12"/>
        <v>0</v>
      </c>
      <c r="AE50" s="9">
        <f t="shared" si="12"/>
        <v>0</v>
      </c>
      <c r="AF50" s="9">
        <f t="shared" si="12"/>
        <v>0</v>
      </c>
      <c r="AG50" s="9">
        <f t="shared" si="12"/>
        <v>0</v>
      </c>
      <c r="AH50" s="9">
        <f t="shared" si="12"/>
        <v>0</v>
      </c>
      <c r="AI50" s="9">
        <f t="shared" si="12"/>
        <v>0</v>
      </c>
      <c r="AJ50" s="9">
        <f t="shared" si="12"/>
        <v>0</v>
      </c>
      <c r="AK50" s="9">
        <f t="shared" si="12"/>
        <v>0</v>
      </c>
      <c r="AL50" s="161">
        <f t="shared" si="10"/>
        <v>33.5</v>
      </c>
    </row>
    <row r="51" spans="1:38" ht="30" customHeight="1" x14ac:dyDescent="0.3">
      <c r="A51" s="159" t="s">
        <v>516</v>
      </c>
      <c r="B51" s="9">
        <f>+B38+B41+B42+B43+B44+B46</f>
        <v>0</v>
      </c>
      <c r="C51" s="9">
        <f t="shared" ref="C51:AK51" si="13">+C38+C41+C42+C43+C44+C46</f>
        <v>0</v>
      </c>
      <c r="D51" s="9">
        <f t="shared" si="13"/>
        <v>0</v>
      </c>
      <c r="E51" s="9">
        <f t="shared" si="13"/>
        <v>3.125</v>
      </c>
      <c r="F51" s="9">
        <f t="shared" si="13"/>
        <v>3.125</v>
      </c>
      <c r="G51" s="9">
        <f t="shared" si="13"/>
        <v>0</v>
      </c>
      <c r="H51" s="9">
        <f t="shared" si="13"/>
        <v>0</v>
      </c>
      <c r="I51" s="9">
        <f t="shared" si="13"/>
        <v>3.125</v>
      </c>
      <c r="J51" s="9">
        <f t="shared" si="13"/>
        <v>3.125</v>
      </c>
      <c r="K51" s="9">
        <f t="shared" si="13"/>
        <v>7.8125</v>
      </c>
      <c r="L51" s="9">
        <f t="shared" si="13"/>
        <v>7.8125</v>
      </c>
      <c r="M51" s="9">
        <f t="shared" si="13"/>
        <v>3.75</v>
      </c>
      <c r="N51" s="9">
        <f t="shared" si="13"/>
        <v>3.75</v>
      </c>
      <c r="O51" s="9">
        <f t="shared" si="13"/>
        <v>4.6875</v>
      </c>
      <c r="P51" s="9">
        <f t="shared" si="13"/>
        <v>4.6875</v>
      </c>
      <c r="Q51" s="9">
        <f t="shared" si="13"/>
        <v>3.125</v>
      </c>
      <c r="R51" s="9">
        <f t="shared" si="13"/>
        <v>3.125</v>
      </c>
      <c r="S51" s="9">
        <f t="shared" si="13"/>
        <v>7.8125</v>
      </c>
      <c r="T51" s="9">
        <f t="shared" si="13"/>
        <v>7.8125</v>
      </c>
      <c r="U51" s="9">
        <f t="shared" si="13"/>
        <v>3.75</v>
      </c>
      <c r="V51" s="9">
        <f t="shared" si="13"/>
        <v>3.75</v>
      </c>
      <c r="W51" s="9">
        <f t="shared" si="13"/>
        <v>4.6875</v>
      </c>
      <c r="X51" s="9">
        <f t="shared" si="13"/>
        <v>4.6875</v>
      </c>
      <c r="Y51" s="9">
        <f t="shared" si="13"/>
        <v>0</v>
      </c>
      <c r="Z51" s="9">
        <f t="shared" si="13"/>
        <v>5.625</v>
      </c>
      <c r="AA51" s="9">
        <f t="shared" si="13"/>
        <v>5.625</v>
      </c>
      <c r="AB51" s="9">
        <f t="shared" si="13"/>
        <v>0</v>
      </c>
      <c r="AC51" s="9">
        <f t="shared" si="13"/>
        <v>0</v>
      </c>
      <c r="AD51" s="9">
        <f t="shared" si="13"/>
        <v>0</v>
      </c>
      <c r="AE51" s="9">
        <f t="shared" si="13"/>
        <v>0</v>
      </c>
      <c r="AF51" s="9">
        <f t="shared" si="13"/>
        <v>0</v>
      </c>
      <c r="AG51" s="9">
        <f t="shared" si="13"/>
        <v>0</v>
      </c>
      <c r="AH51" s="9">
        <f t="shared" si="13"/>
        <v>0</v>
      </c>
      <c r="AI51" s="9">
        <f t="shared" si="13"/>
        <v>0</v>
      </c>
      <c r="AJ51" s="9">
        <f t="shared" si="13"/>
        <v>0</v>
      </c>
      <c r="AK51" s="9">
        <f t="shared" si="13"/>
        <v>0</v>
      </c>
      <c r="AL51" s="161">
        <f t="shared" si="10"/>
        <v>95</v>
      </c>
    </row>
    <row r="52" spans="1:38" ht="30" customHeight="1" x14ac:dyDescent="0.3">
      <c r="A52" s="159" t="s">
        <v>40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</row>
    <row r="53" spans="1:38" ht="30" customHeight="1" x14ac:dyDescent="0.3">
      <c r="A53" s="163" t="s">
        <v>601</v>
      </c>
      <c r="B53" s="108">
        <f>SUM(B50:B52)</f>
        <v>0</v>
      </c>
      <c r="C53" s="108">
        <f t="shared" ref="C53:AK53" si="14">SUM(C50:C52)</f>
        <v>0</v>
      </c>
      <c r="D53" s="108">
        <f t="shared" si="14"/>
        <v>3.125</v>
      </c>
      <c r="E53" s="108">
        <f t="shared" si="14"/>
        <v>6.25</v>
      </c>
      <c r="F53" s="108">
        <f t="shared" si="14"/>
        <v>7.125</v>
      </c>
      <c r="G53" s="108">
        <f t="shared" si="14"/>
        <v>4</v>
      </c>
      <c r="H53" s="108">
        <f t="shared" si="14"/>
        <v>0</v>
      </c>
      <c r="I53" s="108">
        <f t="shared" si="14"/>
        <v>3.125</v>
      </c>
      <c r="J53" s="108">
        <f t="shared" si="14"/>
        <v>3.125</v>
      </c>
      <c r="K53" s="108">
        <f t="shared" si="14"/>
        <v>7.8125</v>
      </c>
      <c r="L53" s="108">
        <f t="shared" si="14"/>
        <v>7.8125</v>
      </c>
      <c r="M53" s="108">
        <f t="shared" si="14"/>
        <v>3.75</v>
      </c>
      <c r="N53" s="108">
        <f t="shared" si="14"/>
        <v>3.75</v>
      </c>
      <c r="O53" s="108">
        <f t="shared" si="14"/>
        <v>4.6875</v>
      </c>
      <c r="P53" s="108">
        <f t="shared" si="14"/>
        <v>4.6875</v>
      </c>
      <c r="Q53" s="108">
        <f t="shared" si="14"/>
        <v>7.125</v>
      </c>
      <c r="R53" s="108">
        <f t="shared" si="14"/>
        <v>7.125</v>
      </c>
      <c r="S53" s="108">
        <f t="shared" si="14"/>
        <v>7.8125</v>
      </c>
      <c r="T53" s="108">
        <f t="shared" si="14"/>
        <v>7.8125</v>
      </c>
      <c r="U53" s="108">
        <f t="shared" si="14"/>
        <v>3.75</v>
      </c>
      <c r="V53" s="108">
        <f t="shared" si="14"/>
        <v>3.75</v>
      </c>
      <c r="W53" s="108">
        <f t="shared" si="14"/>
        <v>4.6875</v>
      </c>
      <c r="X53" s="108">
        <f t="shared" si="14"/>
        <v>4.6875</v>
      </c>
      <c r="Y53" s="108">
        <f t="shared" si="14"/>
        <v>0</v>
      </c>
      <c r="Z53" s="108">
        <f t="shared" si="14"/>
        <v>11.25</v>
      </c>
      <c r="AA53" s="108">
        <f t="shared" si="14"/>
        <v>11.25</v>
      </c>
      <c r="AB53" s="108">
        <f t="shared" si="14"/>
        <v>0</v>
      </c>
      <c r="AC53" s="108">
        <f t="shared" si="14"/>
        <v>0</v>
      </c>
      <c r="AD53" s="108">
        <f t="shared" si="14"/>
        <v>0</v>
      </c>
      <c r="AE53" s="108">
        <f t="shared" si="14"/>
        <v>0</v>
      </c>
      <c r="AF53" s="108">
        <f t="shared" si="14"/>
        <v>0</v>
      </c>
      <c r="AG53" s="108">
        <f t="shared" si="14"/>
        <v>0</v>
      </c>
      <c r="AH53" s="108">
        <f t="shared" si="14"/>
        <v>0</v>
      </c>
      <c r="AI53" s="108">
        <f t="shared" si="14"/>
        <v>0</v>
      </c>
      <c r="AJ53" s="108">
        <f t="shared" si="14"/>
        <v>0</v>
      </c>
      <c r="AK53" s="108">
        <f t="shared" si="14"/>
        <v>0</v>
      </c>
      <c r="AL53" s="173">
        <f>SUM(AL50:AL52)</f>
        <v>128.5</v>
      </c>
    </row>
    <row r="54" spans="1:38" s="169" customFormat="1" ht="10.199999999999999" customHeight="1" x14ac:dyDescent="0.3">
      <c r="A54" s="172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1:38" s="169" customFormat="1" ht="30" customHeight="1" x14ac:dyDescent="0.3">
      <c r="A55" s="164" t="s">
        <v>599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161"/>
    </row>
    <row r="56" spans="1:38" s="169" customFormat="1" ht="30" customHeight="1" x14ac:dyDescent="0.3">
      <c r="A56" s="159" t="str">
        <f>+Dados!A54</f>
        <v xml:space="preserve">Tratorista 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192">
        <f>+AL53</f>
        <v>128.5</v>
      </c>
    </row>
    <row r="57" spans="1:38" s="169" customFormat="1" ht="30" customHeight="1" x14ac:dyDescent="0.3">
      <c r="A57" s="159" t="str">
        <f>+Dados!A55</f>
        <v xml:space="preserve">Trabalhadores 
permanentes 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212">
        <f>+Dados!N55*Cal_Cult!B36</f>
        <v>2420</v>
      </c>
    </row>
    <row r="58" spans="1:38" s="169" customFormat="1" ht="30" customHeight="1" x14ac:dyDescent="0.3">
      <c r="A58" s="159" t="s">
        <v>40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161"/>
    </row>
    <row r="59" spans="1:38" s="169" customFormat="1" ht="30" customHeight="1" x14ac:dyDescent="0.3">
      <c r="A59" s="163" t="s">
        <v>604</v>
      </c>
      <c r="B59" s="9">
        <f>SUM(B56:B58)</f>
        <v>0</v>
      </c>
      <c r="C59" s="9">
        <f t="shared" ref="C59:AK59" si="15">SUM(C56:C58)</f>
        <v>0</v>
      </c>
      <c r="D59" s="9">
        <f t="shared" si="15"/>
        <v>0</v>
      </c>
      <c r="E59" s="9">
        <f t="shared" si="15"/>
        <v>0</v>
      </c>
      <c r="F59" s="9">
        <f t="shared" si="15"/>
        <v>0</v>
      </c>
      <c r="G59" s="9">
        <f t="shared" si="15"/>
        <v>0</v>
      </c>
      <c r="H59" s="9">
        <f t="shared" si="15"/>
        <v>0</v>
      </c>
      <c r="I59" s="9">
        <f t="shared" si="15"/>
        <v>0</v>
      </c>
      <c r="J59" s="9">
        <f t="shared" si="15"/>
        <v>0</v>
      </c>
      <c r="K59" s="9">
        <f t="shared" si="15"/>
        <v>0</v>
      </c>
      <c r="L59" s="9">
        <f t="shared" si="15"/>
        <v>0</v>
      </c>
      <c r="M59" s="9">
        <f t="shared" si="15"/>
        <v>0</v>
      </c>
      <c r="N59" s="9">
        <f t="shared" si="15"/>
        <v>0</v>
      </c>
      <c r="O59" s="9">
        <f t="shared" si="15"/>
        <v>0</v>
      </c>
      <c r="P59" s="9">
        <f t="shared" si="15"/>
        <v>0</v>
      </c>
      <c r="Q59" s="9">
        <f t="shared" si="15"/>
        <v>0</v>
      </c>
      <c r="R59" s="9">
        <f t="shared" si="15"/>
        <v>0</v>
      </c>
      <c r="S59" s="9">
        <f t="shared" si="15"/>
        <v>0</v>
      </c>
      <c r="T59" s="9">
        <f t="shared" si="15"/>
        <v>0</v>
      </c>
      <c r="U59" s="9">
        <f t="shared" si="15"/>
        <v>0</v>
      </c>
      <c r="V59" s="9">
        <f t="shared" si="15"/>
        <v>0</v>
      </c>
      <c r="W59" s="9">
        <f t="shared" si="15"/>
        <v>0</v>
      </c>
      <c r="X59" s="9">
        <f t="shared" si="15"/>
        <v>0</v>
      </c>
      <c r="Y59" s="9">
        <f t="shared" si="15"/>
        <v>0</v>
      </c>
      <c r="Z59" s="9">
        <f t="shared" si="15"/>
        <v>0</v>
      </c>
      <c r="AA59" s="9">
        <f t="shared" si="15"/>
        <v>0</v>
      </c>
      <c r="AB59" s="9">
        <f t="shared" si="15"/>
        <v>0</v>
      </c>
      <c r="AC59" s="9">
        <f t="shared" si="15"/>
        <v>0</v>
      </c>
      <c r="AD59" s="9">
        <f t="shared" si="15"/>
        <v>0</v>
      </c>
      <c r="AE59" s="9">
        <f t="shared" si="15"/>
        <v>0</v>
      </c>
      <c r="AF59" s="9">
        <f t="shared" si="15"/>
        <v>0</v>
      </c>
      <c r="AG59" s="9">
        <f t="shared" si="15"/>
        <v>0</v>
      </c>
      <c r="AH59" s="9">
        <f t="shared" si="15"/>
        <v>0</v>
      </c>
      <c r="AI59" s="9">
        <f t="shared" si="15"/>
        <v>0</v>
      </c>
      <c r="AJ59" s="9">
        <f t="shared" si="15"/>
        <v>0</v>
      </c>
      <c r="AK59" s="9">
        <f t="shared" si="15"/>
        <v>0</v>
      </c>
      <c r="AL59" s="157">
        <f>SUM(AL56:AL58)</f>
        <v>2548.5</v>
      </c>
    </row>
    <row r="60" spans="1:38" s="169" customFormat="1" ht="10.199999999999999" customHeight="1" x14ac:dyDescent="0.3">
      <c r="A60" s="172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</row>
    <row r="61" spans="1:38" ht="25.2" customHeight="1" x14ac:dyDescent="0.3">
      <c r="A61" s="164" t="s">
        <v>598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107"/>
    </row>
    <row r="62" spans="1:38" ht="25.2" customHeight="1" x14ac:dyDescent="0.3">
      <c r="A62" s="159" t="str">
        <f>+Dados!A58</f>
        <v>poda</v>
      </c>
      <c r="B62" s="9"/>
      <c r="C62" s="9"/>
      <c r="D62" s="9">
        <f>+$B$36*Dados!G11/3</f>
        <v>125</v>
      </c>
      <c r="E62" s="9">
        <f>+D62</f>
        <v>125</v>
      </c>
      <c r="F62" s="9">
        <f>+D62</f>
        <v>125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192">
        <f>SUM(B62:AK62)</f>
        <v>375</v>
      </c>
    </row>
    <row r="63" spans="1:38" ht="25.2" customHeight="1" x14ac:dyDescent="0.3">
      <c r="A63" s="159" t="str">
        <f>+Dados!A61</f>
        <v>enrola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>
        <f>+$B$36*Dados!G12/2</f>
        <v>150</v>
      </c>
      <c r="O63" s="9">
        <f>+N63</f>
        <v>150</v>
      </c>
      <c r="P63" s="9"/>
      <c r="Q63" s="9"/>
      <c r="R63" s="9"/>
      <c r="S63" s="9">
        <f>+N63</f>
        <v>150</v>
      </c>
      <c r="T63" s="9">
        <f>+S63</f>
        <v>150</v>
      </c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212">
        <f>SUM(B63:AK63)</f>
        <v>600</v>
      </c>
    </row>
    <row r="64" spans="1:38" ht="25.2" customHeight="1" x14ac:dyDescent="0.3">
      <c r="A64" s="159" t="str">
        <f>+Dados!A62</f>
        <v>vindima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>
        <f>+$B$36*Dados!G10/2</f>
        <v>112.5</v>
      </c>
      <c r="AA64" s="9">
        <f>+Z64</f>
        <v>112.5</v>
      </c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161">
        <f>SUM(B64:AK64)</f>
        <v>225</v>
      </c>
    </row>
    <row r="65" spans="1:38" ht="25.2" customHeight="1" x14ac:dyDescent="0.3">
      <c r="A65" s="159" t="s">
        <v>40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186"/>
    </row>
    <row r="66" spans="1:38" ht="25.2" customHeight="1" x14ac:dyDescent="0.3">
      <c r="A66" s="163" t="s">
        <v>603</v>
      </c>
      <c r="B66" s="9">
        <f t="shared" ref="B66:AL66" si="16">SUM(B62:B65)</f>
        <v>0</v>
      </c>
      <c r="C66" s="9">
        <f t="shared" si="16"/>
        <v>0</v>
      </c>
      <c r="D66" s="9">
        <f t="shared" si="16"/>
        <v>125</v>
      </c>
      <c r="E66" s="9">
        <f t="shared" si="16"/>
        <v>125</v>
      </c>
      <c r="F66" s="9">
        <f t="shared" si="16"/>
        <v>125</v>
      </c>
      <c r="G66" s="9">
        <f t="shared" si="16"/>
        <v>0</v>
      </c>
      <c r="H66" s="9">
        <f t="shared" si="16"/>
        <v>0</v>
      </c>
      <c r="I66" s="9">
        <f t="shared" si="16"/>
        <v>0</v>
      </c>
      <c r="J66" s="9">
        <f t="shared" si="16"/>
        <v>0</v>
      </c>
      <c r="K66" s="9">
        <f t="shared" si="16"/>
        <v>0</v>
      </c>
      <c r="L66" s="9">
        <f t="shared" si="16"/>
        <v>0</v>
      </c>
      <c r="M66" s="9">
        <f t="shared" si="16"/>
        <v>0</v>
      </c>
      <c r="N66" s="9">
        <f t="shared" si="16"/>
        <v>150</v>
      </c>
      <c r="O66" s="9">
        <f t="shared" si="16"/>
        <v>150</v>
      </c>
      <c r="P66" s="9">
        <f t="shared" si="16"/>
        <v>0</v>
      </c>
      <c r="Q66" s="9">
        <f t="shared" si="16"/>
        <v>0</v>
      </c>
      <c r="R66" s="9">
        <f t="shared" si="16"/>
        <v>0</v>
      </c>
      <c r="S66" s="9">
        <f t="shared" si="16"/>
        <v>150</v>
      </c>
      <c r="T66" s="9">
        <f t="shared" si="16"/>
        <v>150</v>
      </c>
      <c r="U66" s="9">
        <f t="shared" si="16"/>
        <v>0</v>
      </c>
      <c r="V66" s="9">
        <f t="shared" si="16"/>
        <v>0</v>
      </c>
      <c r="W66" s="9">
        <f t="shared" si="16"/>
        <v>0</v>
      </c>
      <c r="X66" s="9">
        <f t="shared" si="16"/>
        <v>0</v>
      </c>
      <c r="Y66" s="9">
        <f t="shared" si="16"/>
        <v>0</v>
      </c>
      <c r="Z66" s="9">
        <f t="shared" si="16"/>
        <v>112.5</v>
      </c>
      <c r="AA66" s="9">
        <f t="shared" si="16"/>
        <v>112.5</v>
      </c>
      <c r="AB66" s="9">
        <f t="shared" si="16"/>
        <v>0</v>
      </c>
      <c r="AC66" s="9">
        <f t="shared" si="16"/>
        <v>0</v>
      </c>
      <c r="AD66" s="9">
        <f t="shared" si="16"/>
        <v>0</v>
      </c>
      <c r="AE66" s="9">
        <f t="shared" si="16"/>
        <v>0</v>
      </c>
      <c r="AF66" s="9">
        <f t="shared" si="16"/>
        <v>0</v>
      </c>
      <c r="AG66" s="9">
        <f t="shared" si="16"/>
        <v>0</v>
      </c>
      <c r="AH66" s="9">
        <f t="shared" si="16"/>
        <v>0</v>
      </c>
      <c r="AI66" s="9">
        <f t="shared" si="16"/>
        <v>0</v>
      </c>
      <c r="AJ66" s="9">
        <f t="shared" si="16"/>
        <v>0</v>
      </c>
      <c r="AK66" s="9">
        <f t="shared" si="16"/>
        <v>0</v>
      </c>
      <c r="AL66" s="157">
        <f t="shared" si="16"/>
        <v>1200</v>
      </c>
    </row>
    <row r="67" spans="1:38" s="169" customFormat="1" ht="10.199999999999999" customHeight="1" x14ac:dyDescent="0.3">
      <c r="A67" s="172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</row>
    <row r="68" spans="1:38" ht="25.2" customHeight="1" x14ac:dyDescent="0.3">
      <c r="A68" s="454" t="s">
        <v>579</v>
      </c>
      <c r="B68" s="455"/>
      <c r="C68" s="455"/>
      <c r="D68" s="455"/>
      <c r="E68" s="455"/>
      <c r="F68" s="455"/>
      <c r="G68" s="455"/>
      <c r="H68" s="455"/>
      <c r="I68" s="455"/>
      <c r="J68" s="455"/>
      <c r="K68" s="455"/>
      <c r="L68" s="455"/>
      <c r="M68" s="455"/>
      <c r="N68" s="455"/>
      <c r="O68" s="455"/>
      <c r="P68" s="455"/>
      <c r="Q68" s="455"/>
      <c r="R68" s="455"/>
      <c r="S68" s="455"/>
      <c r="T68" s="455"/>
      <c r="U68" s="455"/>
      <c r="V68" s="455"/>
      <c r="W68" s="455"/>
      <c r="X68" s="455"/>
      <c r="Y68" s="455"/>
      <c r="Z68" s="455"/>
      <c r="AA68" s="455"/>
      <c r="AB68" s="455"/>
      <c r="AC68" s="455"/>
      <c r="AD68" s="455"/>
      <c r="AE68" s="455"/>
      <c r="AF68" s="455"/>
      <c r="AG68" s="455"/>
      <c r="AH68" s="455"/>
      <c r="AI68" s="455"/>
      <c r="AJ68" s="455"/>
      <c r="AK68" s="455"/>
      <c r="AL68" s="455"/>
    </row>
    <row r="69" spans="1:38" ht="25.2" customHeight="1" x14ac:dyDescent="0.3">
      <c r="A69" s="166" t="s">
        <v>51</v>
      </c>
      <c r="B69" s="228">
        <f t="shared" ref="B69:B79" si="17">+B3+B36</f>
        <v>9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</row>
    <row r="70" spans="1:38" ht="30" customHeight="1" x14ac:dyDescent="0.3">
      <c r="A70" s="167" t="str">
        <f>+Dados!A41</f>
        <v>Prepodadora (Tr 53 cv)
LinhaNº232 (IHERA)</v>
      </c>
      <c r="B70" s="9">
        <f t="shared" si="17"/>
        <v>0</v>
      </c>
      <c r="C70" s="9">
        <f t="shared" ref="C70:AK70" si="18">+C4+C37</f>
        <v>0</v>
      </c>
      <c r="D70" s="9">
        <f t="shared" si="18"/>
        <v>9.375</v>
      </c>
      <c r="E70" s="9">
        <f t="shared" si="18"/>
        <v>9.375</v>
      </c>
      <c r="F70" s="9">
        <f t="shared" si="18"/>
        <v>0</v>
      </c>
      <c r="G70" s="9">
        <f t="shared" si="18"/>
        <v>0</v>
      </c>
      <c r="H70" s="9">
        <f t="shared" si="18"/>
        <v>0</v>
      </c>
      <c r="I70" s="9">
        <f t="shared" si="18"/>
        <v>0</v>
      </c>
      <c r="J70" s="9">
        <f t="shared" si="18"/>
        <v>0</v>
      </c>
      <c r="K70" s="9">
        <f t="shared" si="18"/>
        <v>0</v>
      </c>
      <c r="L70" s="9">
        <f t="shared" si="18"/>
        <v>0</v>
      </c>
      <c r="M70" s="9">
        <f t="shared" si="18"/>
        <v>0</v>
      </c>
      <c r="N70" s="9">
        <f t="shared" si="18"/>
        <v>0</v>
      </c>
      <c r="O70" s="9">
        <f t="shared" si="18"/>
        <v>0</v>
      </c>
      <c r="P70" s="9">
        <f t="shared" si="18"/>
        <v>0</v>
      </c>
      <c r="Q70" s="9">
        <f t="shared" si="18"/>
        <v>0</v>
      </c>
      <c r="R70" s="9">
        <f t="shared" si="18"/>
        <v>0</v>
      </c>
      <c r="S70" s="9">
        <f t="shared" si="18"/>
        <v>0</v>
      </c>
      <c r="T70" s="9">
        <f t="shared" si="18"/>
        <v>0</v>
      </c>
      <c r="U70" s="9">
        <f t="shared" si="18"/>
        <v>0</v>
      </c>
      <c r="V70" s="9">
        <f t="shared" si="18"/>
        <v>0</v>
      </c>
      <c r="W70" s="9">
        <f t="shared" si="18"/>
        <v>0</v>
      </c>
      <c r="X70" s="9">
        <f t="shared" si="18"/>
        <v>0</v>
      </c>
      <c r="Y70" s="9">
        <f t="shared" si="18"/>
        <v>0</v>
      </c>
      <c r="Z70" s="9">
        <f t="shared" si="18"/>
        <v>0</v>
      </c>
      <c r="AA70" s="9">
        <f t="shared" si="18"/>
        <v>0</v>
      </c>
      <c r="AB70" s="9">
        <f t="shared" si="18"/>
        <v>0</v>
      </c>
      <c r="AC70" s="9">
        <f t="shared" si="18"/>
        <v>0</v>
      </c>
      <c r="AD70" s="9">
        <f t="shared" si="18"/>
        <v>0</v>
      </c>
      <c r="AE70" s="9">
        <f t="shared" si="18"/>
        <v>0</v>
      </c>
      <c r="AF70" s="9">
        <f t="shared" si="18"/>
        <v>0</v>
      </c>
      <c r="AG70" s="9">
        <f t="shared" si="18"/>
        <v>0</v>
      </c>
      <c r="AH70" s="9">
        <f t="shared" si="18"/>
        <v>0</v>
      </c>
      <c r="AI70" s="9">
        <f t="shared" si="18"/>
        <v>0</v>
      </c>
      <c r="AJ70" s="9">
        <f t="shared" si="18"/>
        <v>0</v>
      </c>
      <c r="AK70" s="9">
        <f t="shared" si="18"/>
        <v>0</v>
      </c>
      <c r="AL70" s="109">
        <f t="shared" ref="AL70:AL80" si="19">SUM(B70:AK70)</f>
        <v>18.75</v>
      </c>
    </row>
    <row r="71" spans="1:38" ht="30" customHeight="1" x14ac:dyDescent="0.3">
      <c r="A71" s="167" t="str">
        <f>+Dados!A42</f>
        <v>Trit.de sarmentos (Tr 45 cv)
LinhaNº235 (IHERA)</v>
      </c>
      <c r="B71" s="9">
        <f t="shared" si="17"/>
        <v>0</v>
      </c>
      <c r="C71" s="9">
        <f t="shared" ref="C71:AK71" si="20">+C5+C38</f>
        <v>0</v>
      </c>
      <c r="D71" s="9">
        <f t="shared" si="20"/>
        <v>0</v>
      </c>
      <c r="E71" s="9">
        <f t="shared" si="20"/>
        <v>9.375</v>
      </c>
      <c r="F71" s="9">
        <f t="shared" si="20"/>
        <v>9.375</v>
      </c>
      <c r="G71" s="9">
        <f t="shared" si="20"/>
        <v>0</v>
      </c>
      <c r="H71" s="9">
        <f t="shared" si="20"/>
        <v>0</v>
      </c>
      <c r="I71" s="9">
        <f t="shared" si="20"/>
        <v>0</v>
      </c>
      <c r="J71" s="9">
        <f t="shared" si="20"/>
        <v>0</v>
      </c>
      <c r="K71" s="9">
        <f t="shared" si="20"/>
        <v>0</v>
      </c>
      <c r="L71" s="9">
        <f t="shared" si="20"/>
        <v>0</v>
      </c>
      <c r="M71" s="9">
        <f t="shared" si="20"/>
        <v>0</v>
      </c>
      <c r="N71" s="9">
        <f t="shared" si="20"/>
        <v>0</v>
      </c>
      <c r="O71" s="9">
        <f t="shared" si="20"/>
        <v>0</v>
      </c>
      <c r="P71" s="9">
        <f t="shared" si="20"/>
        <v>0</v>
      </c>
      <c r="Q71" s="9">
        <f t="shared" si="20"/>
        <v>0</v>
      </c>
      <c r="R71" s="9">
        <f t="shared" si="20"/>
        <v>0</v>
      </c>
      <c r="S71" s="9">
        <f t="shared" si="20"/>
        <v>0</v>
      </c>
      <c r="T71" s="9">
        <f t="shared" si="20"/>
        <v>0</v>
      </c>
      <c r="U71" s="9">
        <f t="shared" si="20"/>
        <v>0</v>
      </c>
      <c r="V71" s="9">
        <f t="shared" si="20"/>
        <v>0</v>
      </c>
      <c r="W71" s="9">
        <f t="shared" si="20"/>
        <v>0</v>
      </c>
      <c r="X71" s="9">
        <f t="shared" si="20"/>
        <v>0</v>
      </c>
      <c r="Y71" s="9">
        <f t="shared" si="20"/>
        <v>0</v>
      </c>
      <c r="Z71" s="9">
        <f t="shared" si="20"/>
        <v>0</v>
      </c>
      <c r="AA71" s="9">
        <f t="shared" si="20"/>
        <v>0</v>
      </c>
      <c r="AB71" s="9">
        <f t="shared" si="20"/>
        <v>0</v>
      </c>
      <c r="AC71" s="9">
        <f t="shared" si="20"/>
        <v>0</v>
      </c>
      <c r="AD71" s="9">
        <f t="shared" si="20"/>
        <v>0</v>
      </c>
      <c r="AE71" s="9">
        <f t="shared" si="20"/>
        <v>0</v>
      </c>
      <c r="AF71" s="9">
        <f t="shared" si="20"/>
        <v>0</v>
      </c>
      <c r="AG71" s="9">
        <f t="shared" si="20"/>
        <v>0</v>
      </c>
      <c r="AH71" s="9">
        <f t="shared" si="20"/>
        <v>0</v>
      </c>
      <c r="AI71" s="9">
        <f t="shared" si="20"/>
        <v>0</v>
      </c>
      <c r="AJ71" s="9">
        <f t="shared" si="20"/>
        <v>0</v>
      </c>
      <c r="AK71" s="9">
        <f t="shared" si="20"/>
        <v>0</v>
      </c>
      <c r="AL71" s="109">
        <f t="shared" si="19"/>
        <v>18.75</v>
      </c>
    </row>
    <row r="72" spans="1:38" ht="30" customHeight="1" x14ac:dyDescent="0.3">
      <c r="A72" s="167" t="str">
        <f>+Dados!A43</f>
        <v>Escarificador  (Tr 53 cv)
LinhaNº65 (IHERA)</v>
      </c>
      <c r="B72" s="9">
        <f t="shared" si="17"/>
        <v>0</v>
      </c>
      <c r="C72" s="9">
        <f t="shared" ref="C72:AK72" si="21">+C6+C39</f>
        <v>0</v>
      </c>
      <c r="D72" s="9">
        <f t="shared" si="21"/>
        <v>0</v>
      </c>
      <c r="E72" s="9">
        <f t="shared" si="21"/>
        <v>0</v>
      </c>
      <c r="F72" s="9">
        <f t="shared" si="21"/>
        <v>12</v>
      </c>
      <c r="G72" s="9">
        <f t="shared" si="21"/>
        <v>12</v>
      </c>
      <c r="H72" s="9">
        <f t="shared" si="21"/>
        <v>0</v>
      </c>
      <c r="I72" s="9">
        <f t="shared" si="21"/>
        <v>0</v>
      </c>
      <c r="J72" s="9">
        <f t="shared" si="21"/>
        <v>0</v>
      </c>
      <c r="K72" s="9">
        <f t="shared" si="21"/>
        <v>0</v>
      </c>
      <c r="L72" s="9">
        <f t="shared" si="21"/>
        <v>0</v>
      </c>
      <c r="M72" s="9">
        <f t="shared" si="21"/>
        <v>0</v>
      </c>
      <c r="N72" s="9">
        <f t="shared" si="21"/>
        <v>0</v>
      </c>
      <c r="O72" s="9">
        <f t="shared" si="21"/>
        <v>0</v>
      </c>
      <c r="P72" s="9">
        <f t="shared" si="21"/>
        <v>0</v>
      </c>
      <c r="Q72" s="9">
        <f t="shared" si="21"/>
        <v>12</v>
      </c>
      <c r="R72" s="9">
        <f t="shared" si="21"/>
        <v>12</v>
      </c>
      <c r="S72" s="9">
        <f t="shared" si="21"/>
        <v>0</v>
      </c>
      <c r="T72" s="9">
        <f t="shared" si="21"/>
        <v>0</v>
      </c>
      <c r="U72" s="9">
        <f t="shared" si="21"/>
        <v>0</v>
      </c>
      <c r="V72" s="9">
        <f t="shared" si="21"/>
        <v>0</v>
      </c>
      <c r="W72" s="9">
        <f t="shared" si="21"/>
        <v>0</v>
      </c>
      <c r="X72" s="9">
        <f t="shared" si="21"/>
        <v>0</v>
      </c>
      <c r="Y72" s="9">
        <f t="shared" si="21"/>
        <v>0</v>
      </c>
      <c r="Z72" s="9">
        <f t="shared" si="21"/>
        <v>0</v>
      </c>
      <c r="AA72" s="9">
        <f t="shared" si="21"/>
        <v>0</v>
      </c>
      <c r="AB72" s="9">
        <f t="shared" si="21"/>
        <v>0</v>
      </c>
      <c r="AC72" s="9">
        <f t="shared" si="21"/>
        <v>0</v>
      </c>
      <c r="AD72" s="9">
        <f t="shared" si="21"/>
        <v>0</v>
      </c>
      <c r="AE72" s="9">
        <f t="shared" si="21"/>
        <v>0</v>
      </c>
      <c r="AF72" s="9">
        <f t="shared" si="21"/>
        <v>0</v>
      </c>
      <c r="AG72" s="9">
        <f t="shared" si="21"/>
        <v>0</v>
      </c>
      <c r="AH72" s="9">
        <f t="shared" si="21"/>
        <v>0</v>
      </c>
      <c r="AI72" s="9">
        <f t="shared" si="21"/>
        <v>0</v>
      </c>
      <c r="AJ72" s="9">
        <f t="shared" si="21"/>
        <v>0</v>
      </c>
      <c r="AK72" s="9">
        <f t="shared" si="21"/>
        <v>0</v>
      </c>
      <c r="AL72" s="109">
        <f t="shared" si="19"/>
        <v>48</v>
      </c>
    </row>
    <row r="73" spans="1:38" ht="30" customHeight="1" x14ac:dyDescent="0.3">
      <c r="A73" s="167" t="str">
        <f>+Dados!A44</f>
        <v>Pulv400L (Tr 53 cv)
LinhaNº130 (IHERA)</v>
      </c>
      <c r="B73" s="9">
        <f t="shared" si="17"/>
        <v>0</v>
      </c>
      <c r="C73" s="9">
        <f t="shared" ref="C73:AK73" si="22">+C7+C40</f>
        <v>0</v>
      </c>
      <c r="D73" s="9">
        <f t="shared" si="22"/>
        <v>0</v>
      </c>
      <c r="E73" s="9">
        <f t="shared" si="22"/>
        <v>0</v>
      </c>
      <c r="F73" s="9">
        <f t="shared" si="22"/>
        <v>0</v>
      </c>
      <c r="G73" s="9">
        <f t="shared" si="22"/>
        <v>0</v>
      </c>
      <c r="H73" s="9">
        <f t="shared" si="22"/>
        <v>0</v>
      </c>
      <c r="I73" s="9">
        <f t="shared" si="22"/>
        <v>0</v>
      </c>
      <c r="J73" s="9">
        <f t="shared" si="22"/>
        <v>0</v>
      </c>
      <c r="K73" s="9">
        <f t="shared" si="22"/>
        <v>9.375</v>
      </c>
      <c r="L73" s="9">
        <f t="shared" si="22"/>
        <v>9.375</v>
      </c>
      <c r="M73" s="9">
        <f t="shared" si="22"/>
        <v>0</v>
      </c>
      <c r="N73" s="9">
        <f t="shared" si="22"/>
        <v>0</v>
      </c>
      <c r="O73" s="9">
        <f t="shared" si="22"/>
        <v>9.375</v>
      </c>
      <c r="P73" s="9">
        <f t="shared" si="22"/>
        <v>9.375</v>
      </c>
      <c r="Q73" s="9">
        <f t="shared" si="22"/>
        <v>0</v>
      </c>
      <c r="R73" s="9">
        <f t="shared" si="22"/>
        <v>0</v>
      </c>
      <c r="S73" s="9">
        <f t="shared" si="22"/>
        <v>9.375</v>
      </c>
      <c r="T73" s="9">
        <f t="shared" si="22"/>
        <v>9.375</v>
      </c>
      <c r="U73" s="9">
        <f t="shared" si="22"/>
        <v>0</v>
      </c>
      <c r="V73" s="9">
        <f t="shared" si="22"/>
        <v>0</v>
      </c>
      <c r="W73" s="9">
        <f t="shared" si="22"/>
        <v>9.375</v>
      </c>
      <c r="X73" s="9">
        <f t="shared" si="22"/>
        <v>9.375</v>
      </c>
      <c r="Y73" s="9">
        <f t="shared" si="22"/>
        <v>0</v>
      </c>
      <c r="Z73" s="9">
        <f t="shared" si="22"/>
        <v>0</v>
      </c>
      <c r="AA73" s="9">
        <f t="shared" si="22"/>
        <v>0</v>
      </c>
      <c r="AB73" s="9">
        <f t="shared" si="22"/>
        <v>0</v>
      </c>
      <c r="AC73" s="9">
        <f t="shared" si="22"/>
        <v>0</v>
      </c>
      <c r="AD73" s="9">
        <f t="shared" si="22"/>
        <v>0</v>
      </c>
      <c r="AE73" s="9">
        <f t="shared" si="22"/>
        <v>0</v>
      </c>
      <c r="AF73" s="9">
        <f t="shared" si="22"/>
        <v>0</v>
      </c>
      <c r="AG73" s="9">
        <f t="shared" si="22"/>
        <v>0</v>
      </c>
      <c r="AH73" s="9">
        <f t="shared" si="22"/>
        <v>0</v>
      </c>
      <c r="AI73" s="9">
        <f t="shared" si="22"/>
        <v>0</v>
      </c>
      <c r="AJ73" s="9">
        <f t="shared" si="22"/>
        <v>0</v>
      </c>
      <c r="AK73" s="9">
        <f t="shared" si="22"/>
        <v>0</v>
      </c>
      <c r="AL73" s="109">
        <f t="shared" si="19"/>
        <v>75</v>
      </c>
    </row>
    <row r="74" spans="1:38" ht="30" customHeight="1" x14ac:dyDescent="0.3">
      <c r="A74" s="167" t="str">
        <f>+Dados!A45</f>
        <v>Pulv300L (Tr 45 cv)
LinhaNº130 (IHERA)</v>
      </c>
      <c r="B74" s="9">
        <f t="shared" si="17"/>
        <v>0</v>
      </c>
      <c r="C74" s="9">
        <f t="shared" ref="C74:AK74" si="23">+C8+C41</f>
        <v>0</v>
      </c>
      <c r="D74" s="9">
        <f t="shared" si="23"/>
        <v>0</v>
      </c>
      <c r="E74" s="9">
        <f t="shared" si="23"/>
        <v>0</v>
      </c>
      <c r="F74" s="9">
        <f t="shared" si="23"/>
        <v>0</v>
      </c>
      <c r="G74" s="9">
        <f t="shared" si="23"/>
        <v>0</v>
      </c>
      <c r="H74" s="9">
        <f t="shared" si="23"/>
        <v>0</v>
      </c>
      <c r="I74" s="9">
        <f t="shared" si="23"/>
        <v>0</v>
      </c>
      <c r="J74" s="9">
        <f t="shared" si="23"/>
        <v>0</v>
      </c>
      <c r="K74" s="9">
        <f t="shared" si="23"/>
        <v>4.6875</v>
      </c>
      <c r="L74" s="9">
        <f t="shared" si="23"/>
        <v>4.6875</v>
      </c>
      <c r="M74" s="9">
        <f t="shared" si="23"/>
        <v>0</v>
      </c>
      <c r="N74" s="9">
        <f t="shared" si="23"/>
        <v>0</v>
      </c>
      <c r="O74" s="9">
        <f t="shared" si="23"/>
        <v>4.6875</v>
      </c>
      <c r="P74" s="9">
        <f t="shared" si="23"/>
        <v>4.6875</v>
      </c>
      <c r="Q74" s="9">
        <f t="shared" si="23"/>
        <v>0</v>
      </c>
      <c r="R74" s="9">
        <f t="shared" si="23"/>
        <v>0</v>
      </c>
      <c r="S74" s="9">
        <f t="shared" si="23"/>
        <v>4.6875</v>
      </c>
      <c r="T74" s="9">
        <f t="shared" si="23"/>
        <v>4.6875</v>
      </c>
      <c r="U74" s="9">
        <f t="shared" si="23"/>
        <v>0</v>
      </c>
      <c r="V74" s="9">
        <f t="shared" si="23"/>
        <v>0</v>
      </c>
      <c r="W74" s="9">
        <f t="shared" si="23"/>
        <v>4.6875</v>
      </c>
      <c r="X74" s="9">
        <f t="shared" si="23"/>
        <v>4.6875</v>
      </c>
      <c r="Y74" s="9">
        <f t="shared" si="23"/>
        <v>0</v>
      </c>
      <c r="Z74" s="9">
        <f t="shared" si="23"/>
        <v>0</v>
      </c>
      <c r="AA74" s="9">
        <f t="shared" si="23"/>
        <v>0</v>
      </c>
      <c r="AB74" s="9">
        <f t="shared" si="23"/>
        <v>0</v>
      </c>
      <c r="AC74" s="9">
        <f t="shared" si="23"/>
        <v>0</v>
      </c>
      <c r="AD74" s="9">
        <f t="shared" si="23"/>
        <v>0</v>
      </c>
      <c r="AE74" s="9">
        <f t="shared" si="23"/>
        <v>0</v>
      </c>
      <c r="AF74" s="9">
        <f t="shared" si="23"/>
        <v>0</v>
      </c>
      <c r="AG74" s="9">
        <f t="shared" si="23"/>
        <v>0</v>
      </c>
      <c r="AH74" s="9">
        <f t="shared" si="23"/>
        <v>0</v>
      </c>
      <c r="AI74" s="9">
        <f t="shared" si="23"/>
        <v>0</v>
      </c>
      <c r="AJ74" s="9">
        <f t="shared" si="23"/>
        <v>0</v>
      </c>
      <c r="AK74" s="9">
        <f t="shared" si="23"/>
        <v>0</v>
      </c>
      <c r="AL74" s="109">
        <f t="shared" si="19"/>
        <v>37.5</v>
      </c>
    </row>
    <row r="75" spans="1:38" ht="30" customHeight="1" x14ac:dyDescent="0.3">
      <c r="A75" s="167" t="str">
        <f>+Dados!A46</f>
        <v>PJP300L  (Tr 45 cv)
LinhaNº125 (IHERA)</v>
      </c>
      <c r="B75" s="9">
        <f t="shared" si="17"/>
        <v>0</v>
      </c>
      <c r="C75" s="9">
        <f t="shared" ref="C75:AK75" si="24">+C9+C42</f>
        <v>0</v>
      </c>
      <c r="D75" s="9">
        <f t="shared" si="24"/>
        <v>0</v>
      </c>
      <c r="E75" s="9">
        <f t="shared" si="24"/>
        <v>0</v>
      </c>
      <c r="F75" s="9">
        <f t="shared" si="24"/>
        <v>0</v>
      </c>
      <c r="G75" s="9">
        <f t="shared" si="24"/>
        <v>0</v>
      </c>
      <c r="H75" s="9">
        <f t="shared" si="24"/>
        <v>0</v>
      </c>
      <c r="I75" s="9">
        <f t="shared" si="24"/>
        <v>0</v>
      </c>
      <c r="J75" s="9">
        <f t="shared" si="24"/>
        <v>0</v>
      </c>
      <c r="K75" s="9">
        <f t="shared" si="24"/>
        <v>0</v>
      </c>
      <c r="L75" s="9">
        <f t="shared" si="24"/>
        <v>0</v>
      </c>
      <c r="M75" s="9">
        <f t="shared" si="24"/>
        <v>11.25</v>
      </c>
      <c r="N75" s="9">
        <f t="shared" si="24"/>
        <v>11.25</v>
      </c>
      <c r="O75" s="9">
        <f t="shared" si="24"/>
        <v>0</v>
      </c>
      <c r="P75" s="9">
        <f t="shared" si="24"/>
        <v>0</v>
      </c>
      <c r="Q75" s="9">
        <f t="shared" si="24"/>
        <v>0</v>
      </c>
      <c r="R75" s="9">
        <f t="shared" si="24"/>
        <v>0</v>
      </c>
      <c r="S75" s="9">
        <f t="shared" si="24"/>
        <v>0</v>
      </c>
      <c r="T75" s="9">
        <f t="shared" si="24"/>
        <v>0</v>
      </c>
      <c r="U75" s="9">
        <f t="shared" si="24"/>
        <v>11.25</v>
      </c>
      <c r="V75" s="9">
        <f t="shared" si="24"/>
        <v>11.25</v>
      </c>
      <c r="W75" s="9">
        <f t="shared" si="24"/>
        <v>0</v>
      </c>
      <c r="X75" s="9">
        <f t="shared" si="24"/>
        <v>0</v>
      </c>
      <c r="Y75" s="9">
        <f t="shared" si="24"/>
        <v>0</v>
      </c>
      <c r="Z75" s="9">
        <f t="shared" si="24"/>
        <v>0</v>
      </c>
      <c r="AA75" s="9">
        <f t="shared" si="24"/>
        <v>0</v>
      </c>
      <c r="AB75" s="9">
        <f t="shared" si="24"/>
        <v>0</v>
      </c>
      <c r="AC75" s="9">
        <f t="shared" si="24"/>
        <v>0</v>
      </c>
      <c r="AD75" s="9">
        <f t="shared" si="24"/>
        <v>0</v>
      </c>
      <c r="AE75" s="9">
        <f t="shared" si="24"/>
        <v>0</v>
      </c>
      <c r="AF75" s="9">
        <f t="shared" si="24"/>
        <v>0</v>
      </c>
      <c r="AG75" s="9">
        <f t="shared" si="24"/>
        <v>0</v>
      </c>
      <c r="AH75" s="9">
        <f t="shared" si="24"/>
        <v>0</v>
      </c>
      <c r="AI75" s="9">
        <f t="shared" si="24"/>
        <v>0</v>
      </c>
      <c r="AJ75" s="9">
        <f t="shared" si="24"/>
        <v>0</v>
      </c>
      <c r="AK75" s="9">
        <f t="shared" si="24"/>
        <v>0</v>
      </c>
      <c r="AL75" s="109">
        <f t="shared" si="19"/>
        <v>45</v>
      </c>
    </row>
    <row r="76" spans="1:38" ht="30" customHeight="1" x14ac:dyDescent="0.3">
      <c r="A76" s="167" t="str">
        <f>+Dados!A47</f>
        <v>Despontadora  (Tr 45 cv)
LinhaNº241 (IHERA)</v>
      </c>
      <c r="B76" s="9">
        <f t="shared" si="17"/>
        <v>0</v>
      </c>
      <c r="C76" s="9">
        <f t="shared" ref="C76:AK76" si="25">+C10+C43</f>
        <v>0</v>
      </c>
      <c r="D76" s="9">
        <f t="shared" si="25"/>
        <v>0</v>
      </c>
      <c r="E76" s="9">
        <f t="shared" si="25"/>
        <v>0</v>
      </c>
      <c r="F76" s="9">
        <f t="shared" si="25"/>
        <v>0</v>
      </c>
      <c r="G76" s="9">
        <f t="shared" si="25"/>
        <v>0</v>
      </c>
      <c r="H76" s="9">
        <f t="shared" si="25"/>
        <v>0</v>
      </c>
      <c r="I76" s="9">
        <f t="shared" si="25"/>
        <v>9.375</v>
      </c>
      <c r="J76" s="9">
        <f t="shared" si="25"/>
        <v>9.375</v>
      </c>
      <c r="K76" s="9">
        <f t="shared" si="25"/>
        <v>0</v>
      </c>
      <c r="L76" s="9">
        <f t="shared" si="25"/>
        <v>0</v>
      </c>
      <c r="M76" s="9">
        <f t="shared" si="25"/>
        <v>0</v>
      </c>
      <c r="N76" s="9">
        <f t="shared" si="25"/>
        <v>0</v>
      </c>
      <c r="O76" s="9">
        <f t="shared" si="25"/>
        <v>0</v>
      </c>
      <c r="P76" s="9">
        <f t="shared" si="25"/>
        <v>0</v>
      </c>
      <c r="Q76" s="9">
        <f t="shared" si="25"/>
        <v>9.375</v>
      </c>
      <c r="R76" s="9">
        <f t="shared" si="25"/>
        <v>9.375</v>
      </c>
      <c r="S76" s="9">
        <f t="shared" si="25"/>
        <v>0</v>
      </c>
      <c r="T76" s="9">
        <f t="shared" si="25"/>
        <v>0</v>
      </c>
      <c r="U76" s="9">
        <f t="shared" si="25"/>
        <v>0</v>
      </c>
      <c r="V76" s="9">
        <f t="shared" si="25"/>
        <v>0</v>
      </c>
      <c r="W76" s="9">
        <f t="shared" si="25"/>
        <v>0</v>
      </c>
      <c r="X76" s="9">
        <f t="shared" si="25"/>
        <v>0</v>
      </c>
      <c r="Y76" s="9">
        <f t="shared" si="25"/>
        <v>0</v>
      </c>
      <c r="Z76" s="9">
        <f t="shared" si="25"/>
        <v>0</v>
      </c>
      <c r="AA76" s="9">
        <f t="shared" si="25"/>
        <v>0</v>
      </c>
      <c r="AB76" s="9">
        <f t="shared" si="25"/>
        <v>0</v>
      </c>
      <c r="AC76" s="9">
        <f t="shared" si="25"/>
        <v>0</v>
      </c>
      <c r="AD76" s="9">
        <f t="shared" si="25"/>
        <v>0</v>
      </c>
      <c r="AE76" s="9">
        <f t="shared" si="25"/>
        <v>0</v>
      </c>
      <c r="AF76" s="9">
        <f t="shared" si="25"/>
        <v>0</v>
      </c>
      <c r="AG76" s="9">
        <f t="shared" si="25"/>
        <v>0</v>
      </c>
      <c r="AH76" s="9">
        <f t="shared" si="25"/>
        <v>0</v>
      </c>
      <c r="AI76" s="9">
        <f t="shared" si="25"/>
        <v>0</v>
      </c>
      <c r="AJ76" s="9">
        <f t="shared" si="25"/>
        <v>0</v>
      </c>
      <c r="AK76" s="9">
        <f t="shared" si="25"/>
        <v>0</v>
      </c>
      <c r="AL76" s="109">
        <f t="shared" si="19"/>
        <v>37.5</v>
      </c>
    </row>
    <row r="77" spans="1:38" ht="30" customHeight="1" x14ac:dyDescent="0.3">
      <c r="A77" s="167" t="str">
        <f>+Dados!A48</f>
        <v>Triturador de erva (Tr 45)
LinhaNº234 (IHERA)</v>
      </c>
      <c r="B77" s="9">
        <f t="shared" si="17"/>
        <v>0</v>
      </c>
      <c r="C77" s="9">
        <f t="shared" ref="C77:AK77" si="26">+C11+C44</f>
        <v>0</v>
      </c>
      <c r="D77" s="9">
        <f t="shared" si="26"/>
        <v>0</v>
      </c>
      <c r="E77" s="9">
        <f t="shared" si="26"/>
        <v>0</v>
      </c>
      <c r="F77" s="9">
        <f t="shared" si="26"/>
        <v>0</v>
      </c>
      <c r="G77" s="9">
        <f t="shared" si="26"/>
        <v>0</v>
      </c>
      <c r="H77" s="9">
        <f t="shared" si="26"/>
        <v>0</v>
      </c>
      <c r="I77" s="9">
        <f t="shared" si="26"/>
        <v>0</v>
      </c>
      <c r="J77" s="9">
        <f t="shared" si="26"/>
        <v>0</v>
      </c>
      <c r="K77" s="9">
        <f t="shared" si="26"/>
        <v>9.375</v>
      </c>
      <c r="L77" s="9">
        <f t="shared" si="26"/>
        <v>9.375</v>
      </c>
      <c r="M77" s="9">
        <f t="shared" si="26"/>
        <v>0</v>
      </c>
      <c r="N77" s="9">
        <f t="shared" si="26"/>
        <v>0</v>
      </c>
      <c r="O77" s="9">
        <f t="shared" si="26"/>
        <v>0</v>
      </c>
      <c r="P77" s="9">
        <f t="shared" si="26"/>
        <v>0</v>
      </c>
      <c r="Q77" s="9">
        <f t="shared" si="26"/>
        <v>0</v>
      </c>
      <c r="R77" s="9">
        <f t="shared" si="26"/>
        <v>0</v>
      </c>
      <c r="S77" s="9">
        <f t="shared" si="26"/>
        <v>9.375</v>
      </c>
      <c r="T77" s="9">
        <f t="shared" si="26"/>
        <v>9.375</v>
      </c>
      <c r="U77" s="9">
        <f t="shared" si="26"/>
        <v>0</v>
      </c>
      <c r="V77" s="9">
        <f t="shared" si="26"/>
        <v>0</v>
      </c>
      <c r="W77" s="9">
        <f t="shared" si="26"/>
        <v>0</v>
      </c>
      <c r="X77" s="9">
        <f t="shared" si="26"/>
        <v>0</v>
      </c>
      <c r="Y77" s="9">
        <f t="shared" si="26"/>
        <v>0</v>
      </c>
      <c r="Z77" s="9">
        <f t="shared" si="26"/>
        <v>0</v>
      </c>
      <c r="AA77" s="9">
        <f t="shared" si="26"/>
        <v>0</v>
      </c>
      <c r="AB77" s="9">
        <f t="shared" si="26"/>
        <v>0</v>
      </c>
      <c r="AC77" s="9">
        <f t="shared" si="26"/>
        <v>0</v>
      </c>
      <c r="AD77" s="9">
        <f t="shared" si="26"/>
        <v>0</v>
      </c>
      <c r="AE77" s="9">
        <f t="shared" si="26"/>
        <v>0</v>
      </c>
      <c r="AF77" s="9">
        <f t="shared" si="26"/>
        <v>0</v>
      </c>
      <c r="AG77" s="9">
        <f t="shared" si="26"/>
        <v>0</v>
      </c>
      <c r="AH77" s="9">
        <f t="shared" si="26"/>
        <v>0</v>
      </c>
      <c r="AI77" s="9">
        <f t="shared" si="26"/>
        <v>0</v>
      </c>
      <c r="AJ77" s="9">
        <f t="shared" si="26"/>
        <v>0</v>
      </c>
      <c r="AK77" s="9">
        <f t="shared" si="26"/>
        <v>0</v>
      </c>
      <c r="AL77" s="109">
        <f t="shared" si="19"/>
        <v>37.5</v>
      </c>
    </row>
    <row r="78" spans="1:38" ht="30" customHeight="1" x14ac:dyDescent="0.3">
      <c r="A78" s="167" t="str">
        <f>+Dados!A49</f>
        <v>Semi-R.4T kg  (Tr 53 cv)
LinhaNº173 (IHERA)</v>
      </c>
      <c r="B78" s="9">
        <f t="shared" si="17"/>
        <v>0</v>
      </c>
      <c r="C78" s="9">
        <f t="shared" ref="C78:AK78" si="27">+C12+C45</f>
        <v>0</v>
      </c>
      <c r="D78" s="9">
        <f t="shared" si="27"/>
        <v>0</v>
      </c>
      <c r="E78" s="9">
        <f t="shared" si="27"/>
        <v>0</v>
      </c>
      <c r="F78" s="9">
        <f t="shared" si="27"/>
        <v>0</v>
      </c>
      <c r="G78" s="9">
        <f t="shared" si="27"/>
        <v>0</v>
      </c>
      <c r="H78" s="9">
        <f t="shared" si="27"/>
        <v>0</v>
      </c>
      <c r="I78" s="9">
        <f t="shared" si="27"/>
        <v>0</v>
      </c>
      <c r="J78" s="9">
        <f t="shared" si="27"/>
        <v>0</v>
      </c>
      <c r="K78" s="9">
        <f t="shared" si="27"/>
        <v>0</v>
      </c>
      <c r="L78" s="9">
        <f t="shared" si="27"/>
        <v>0</v>
      </c>
      <c r="M78" s="9">
        <f t="shared" si="27"/>
        <v>0</v>
      </c>
      <c r="N78" s="9">
        <f t="shared" si="27"/>
        <v>0</v>
      </c>
      <c r="O78" s="9">
        <f t="shared" si="27"/>
        <v>0</v>
      </c>
      <c r="P78" s="9">
        <f t="shared" si="27"/>
        <v>0</v>
      </c>
      <c r="Q78" s="9">
        <f t="shared" si="27"/>
        <v>0</v>
      </c>
      <c r="R78" s="9">
        <f t="shared" si="27"/>
        <v>0</v>
      </c>
      <c r="S78" s="9">
        <f t="shared" si="27"/>
        <v>0</v>
      </c>
      <c r="T78" s="9">
        <f t="shared" si="27"/>
        <v>0</v>
      </c>
      <c r="U78" s="9">
        <f t="shared" si="27"/>
        <v>0</v>
      </c>
      <c r="V78" s="9">
        <f t="shared" si="27"/>
        <v>0</v>
      </c>
      <c r="W78" s="9">
        <f t="shared" si="27"/>
        <v>0</v>
      </c>
      <c r="X78" s="9">
        <f t="shared" si="27"/>
        <v>0</v>
      </c>
      <c r="Y78" s="9">
        <f t="shared" si="27"/>
        <v>0</v>
      </c>
      <c r="Z78" s="9">
        <f t="shared" si="27"/>
        <v>16.875</v>
      </c>
      <c r="AA78" s="9">
        <f t="shared" si="27"/>
        <v>16.875</v>
      </c>
      <c r="AB78" s="9">
        <f t="shared" si="27"/>
        <v>0</v>
      </c>
      <c r="AC78" s="9">
        <f t="shared" si="27"/>
        <v>0</v>
      </c>
      <c r="AD78" s="9">
        <f t="shared" si="27"/>
        <v>0</v>
      </c>
      <c r="AE78" s="9">
        <f t="shared" si="27"/>
        <v>0</v>
      </c>
      <c r="AF78" s="9">
        <f t="shared" si="27"/>
        <v>0</v>
      </c>
      <c r="AG78" s="9">
        <f t="shared" si="27"/>
        <v>0</v>
      </c>
      <c r="AH78" s="9">
        <f t="shared" si="27"/>
        <v>0</v>
      </c>
      <c r="AI78" s="9">
        <f t="shared" si="27"/>
        <v>0</v>
      </c>
      <c r="AJ78" s="9">
        <f t="shared" si="27"/>
        <v>0</v>
      </c>
      <c r="AK78" s="9">
        <f t="shared" si="27"/>
        <v>0</v>
      </c>
      <c r="AL78" s="109">
        <f t="shared" si="19"/>
        <v>33.75</v>
      </c>
    </row>
    <row r="79" spans="1:38" ht="30" customHeight="1" x14ac:dyDescent="0.3">
      <c r="A79" s="167" t="str">
        <f>+Dados!A50</f>
        <v>Semi-R. 4T  (Tr 45 cv)
LinhaNº173 (IHERA)</v>
      </c>
      <c r="B79" s="9">
        <f t="shared" si="17"/>
        <v>0</v>
      </c>
      <c r="C79" s="9">
        <f t="shared" ref="C79:AK79" si="28">+C13+C46</f>
        <v>0</v>
      </c>
      <c r="D79" s="9">
        <f t="shared" si="28"/>
        <v>0</v>
      </c>
      <c r="E79" s="9">
        <f t="shared" si="28"/>
        <v>0</v>
      </c>
      <c r="F79" s="9">
        <f t="shared" si="28"/>
        <v>0</v>
      </c>
      <c r="G79" s="9">
        <f t="shared" si="28"/>
        <v>0</v>
      </c>
      <c r="H79" s="9">
        <f t="shared" si="28"/>
        <v>0</v>
      </c>
      <c r="I79" s="9">
        <f t="shared" si="28"/>
        <v>0</v>
      </c>
      <c r="J79" s="9">
        <f t="shared" si="28"/>
        <v>0</v>
      </c>
      <c r="K79" s="9">
        <f t="shared" si="28"/>
        <v>0</v>
      </c>
      <c r="L79" s="9">
        <f t="shared" si="28"/>
        <v>0</v>
      </c>
      <c r="M79" s="9">
        <f t="shared" si="28"/>
        <v>0</v>
      </c>
      <c r="N79" s="9">
        <f t="shared" si="28"/>
        <v>0</v>
      </c>
      <c r="O79" s="9">
        <f t="shared" si="28"/>
        <v>0</v>
      </c>
      <c r="P79" s="9">
        <f t="shared" si="28"/>
        <v>0</v>
      </c>
      <c r="Q79" s="9">
        <f t="shared" si="28"/>
        <v>0</v>
      </c>
      <c r="R79" s="9">
        <f t="shared" si="28"/>
        <v>0</v>
      </c>
      <c r="S79" s="9">
        <f t="shared" si="28"/>
        <v>0</v>
      </c>
      <c r="T79" s="9">
        <f t="shared" si="28"/>
        <v>0</v>
      </c>
      <c r="U79" s="9">
        <f t="shared" si="28"/>
        <v>0</v>
      </c>
      <c r="V79" s="9">
        <f t="shared" si="28"/>
        <v>0</v>
      </c>
      <c r="W79" s="9">
        <f t="shared" si="28"/>
        <v>0</v>
      </c>
      <c r="X79" s="9">
        <f t="shared" si="28"/>
        <v>0</v>
      </c>
      <c r="Y79" s="9">
        <f t="shared" si="28"/>
        <v>0</v>
      </c>
      <c r="Z79" s="9">
        <f t="shared" si="28"/>
        <v>16.875</v>
      </c>
      <c r="AA79" s="9">
        <f t="shared" si="28"/>
        <v>16.875</v>
      </c>
      <c r="AB79" s="9">
        <f t="shared" si="28"/>
        <v>0</v>
      </c>
      <c r="AC79" s="9">
        <f t="shared" si="28"/>
        <v>0</v>
      </c>
      <c r="AD79" s="9">
        <f t="shared" si="28"/>
        <v>0</v>
      </c>
      <c r="AE79" s="9">
        <f t="shared" si="28"/>
        <v>0</v>
      </c>
      <c r="AF79" s="9">
        <f t="shared" si="28"/>
        <v>0</v>
      </c>
      <c r="AG79" s="9">
        <f t="shared" si="28"/>
        <v>0</v>
      </c>
      <c r="AH79" s="9">
        <f t="shared" si="28"/>
        <v>0</v>
      </c>
      <c r="AI79" s="9">
        <f t="shared" si="28"/>
        <v>0</v>
      </c>
      <c r="AJ79" s="9">
        <f t="shared" si="28"/>
        <v>0</v>
      </c>
      <c r="AK79" s="9">
        <f t="shared" si="28"/>
        <v>0</v>
      </c>
      <c r="AL79" s="109">
        <f t="shared" si="19"/>
        <v>33.75</v>
      </c>
    </row>
    <row r="80" spans="1:38" ht="30" customHeight="1" x14ac:dyDescent="0.3">
      <c r="A80" s="167" t="str">
        <f>+Dados!A51</f>
        <v>…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109">
        <f t="shared" si="19"/>
        <v>0</v>
      </c>
    </row>
    <row r="81" spans="1:38" ht="30" customHeight="1" x14ac:dyDescent="0.3">
      <c r="A81" s="166" t="s">
        <v>602</v>
      </c>
      <c r="B81" s="9">
        <f>SUM(B70:B80)</f>
        <v>0</v>
      </c>
      <c r="C81" s="9">
        <f t="shared" ref="C81:AK81" si="29">SUM(C70:C80)</f>
        <v>0</v>
      </c>
      <c r="D81" s="9">
        <f t="shared" si="29"/>
        <v>9.375</v>
      </c>
      <c r="E81" s="9">
        <f t="shared" si="29"/>
        <v>18.75</v>
      </c>
      <c r="F81" s="9">
        <f t="shared" si="29"/>
        <v>21.375</v>
      </c>
      <c r="G81" s="9">
        <f t="shared" si="29"/>
        <v>12</v>
      </c>
      <c r="H81" s="9">
        <f t="shared" si="29"/>
        <v>0</v>
      </c>
      <c r="I81" s="9">
        <f t="shared" si="29"/>
        <v>9.375</v>
      </c>
      <c r="J81" s="9">
        <f t="shared" si="29"/>
        <v>9.375</v>
      </c>
      <c r="K81" s="9">
        <f t="shared" si="29"/>
        <v>23.4375</v>
      </c>
      <c r="L81" s="9">
        <f t="shared" si="29"/>
        <v>23.4375</v>
      </c>
      <c r="M81" s="9">
        <f t="shared" si="29"/>
        <v>11.25</v>
      </c>
      <c r="N81" s="9">
        <f t="shared" si="29"/>
        <v>11.25</v>
      </c>
      <c r="O81" s="9">
        <f t="shared" si="29"/>
        <v>14.0625</v>
      </c>
      <c r="P81" s="9">
        <f t="shared" si="29"/>
        <v>14.0625</v>
      </c>
      <c r="Q81" s="9">
        <f t="shared" si="29"/>
        <v>21.375</v>
      </c>
      <c r="R81" s="9">
        <f t="shared" si="29"/>
        <v>21.375</v>
      </c>
      <c r="S81" s="9">
        <f t="shared" si="29"/>
        <v>23.4375</v>
      </c>
      <c r="T81" s="9">
        <f t="shared" si="29"/>
        <v>23.4375</v>
      </c>
      <c r="U81" s="9">
        <f t="shared" si="29"/>
        <v>11.25</v>
      </c>
      <c r="V81" s="9">
        <f t="shared" si="29"/>
        <v>11.25</v>
      </c>
      <c r="W81" s="9">
        <f t="shared" si="29"/>
        <v>14.0625</v>
      </c>
      <c r="X81" s="9">
        <f t="shared" si="29"/>
        <v>14.0625</v>
      </c>
      <c r="Y81" s="9">
        <f t="shared" si="29"/>
        <v>0</v>
      </c>
      <c r="Z81" s="9">
        <f t="shared" si="29"/>
        <v>33.75</v>
      </c>
      <c r="AA81" s="9">
        <f t="shared" si="29"/>
        <v>33.75</v>
      </c>
      <c r="AB81" s="9">
        <f t="shared" si="29"/>
        <v>0</v>
      </c>
      <c r="AC81" s="9">
        <f t="shared" si="29"/>
        <v>0</v>
      </c>
      <c r="AD81" s="9">
        <f t="shared" si="29"/>
        <v>0</v>
      </c>
      <c r="AE81" s="9">
        <f t="shared" si="29"/>
        <v>0</v>
      </c>
      <c r="AF81" s="9">
        <f t="shared" si="29"/>
        <v>0</v>
      </c>
      <c r="AG81" s="9">
        <f t="shared" si="29"/>
        <v>0</v>
      </c>
      <c r="AH81" s="9">
        <f t="shared" si="29"/>
        <v>0</v>
      </c>
      <c r="AI81" s="9">
        <f t="shared" si="29"/>
        <v>0</v>
      </c>
      <c r="AJ81" s="9">
        <f t="shared" si="29"/>
        <v>0</v>
      </c>
      <c r="AK81" s="9">
        <f t="shared" si="29"/>
        <v>0</v>
      </c>
      <c r="AL81" s="171">
        <f>SUM(AL70:AL80)</f>
        <v>385.5</v>
      </c>
    </row>
    <row r="82" spans="1:38" s="169" customFormat="1" ht="10.199999999999999" customHeight="1" x14ac:dyDescent="0.3">
      <c r="A82" s="165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109"/>
    </row>
    <row r="83" spans="1:38" ht="30" customHeight="1" x14ac:dyDescent="0.3">
      <c r="A83" s="167" t="s">
        <v>515</v>
      </c>
      <c r="B83" s="9">
        <f t="shared" ref="B83:AK83" si="30">+B17+B50</f>
        <v>0</v>
      </c>
      <c r="C83" s="9">
        <f t="shared" si="30"/>
        <v>0</v>
      </c>
      <c r="D83" s="9">
        <f t="shared" si="30"/>
        <v>9.375</v>
      </c>
      <c r="E83" s="9">
        <f t="shared" si="30"/>
        <v>9.375</v>
      </c>
      <c r="F83" s="9">
        <f t="shared" si="30"/>
        <v>12</v>
      </c>
      <c r="G83" s="9">
        <f t="shared" si="30"/>
        <v>12</v>
      </c>
      <c r="H83" s="9">
        <f t="shared" si="30"/>
        <v>0</v>
      </c>
      <c r="I83" s="9">
        <f t="shared" si="30"/>
        <v>0</v>
      </c>
      <c r="J83" s="9">
        <f t="shared" si="30"/>
        <v>0</v>
      </c>
      <c r="K83" s="9">
        <f t="shared" si="30"/>
        <v>9.375</v>
      </c>
      <c r="L83" s="9">
        <f t="shared" si="30"/>
        <v>9.375</v>
      </c>
      <c r="M83" s="9">
        <f t="shared" si="30"/>
        <v>0</v>
      </c>
      <c r="N83" s="9">
        <f t="shared" si="30"/>
        <v>0</v>
      </c>
      <c r="O83" s="9">
        <f t="shared" si="30"/>
        <v>9.375</v>
      </c>
      <c r="P83" s="9">
        <f t="shared" si="30"/>
        <v>9.375</v>
      </c>
      <c r="Q83" s="9">
        <f t="shared" si="30"/>
        <v>12</v>
      </c>
      <c r="R83" s="9">
        <f t="shared" si="30"/>
        <v>12</v>
      </c>
      <c r="S83" s="9">
        <f t="shared" si="30"/>
        <v>9.375</v>
      </c>
      <c r="T83" s="9">
        <f t="shared" si="30"/>
        <v>9.375</v>
      </c>
      <c r="U83" s="9">
        <f t="shared" si="30"/>
        <v>0</v>
      </c>
      <c r="V83" s="9">
        <f t="shared" si="30"/>
        <v>0</v>
      </c>
      <c r="W83" s="9">
        <f t="shared" si="30"/>
        <v>9.375</v>
      </c>
      <c r="X83" s="9">
        <f t="shared" si="30"/>
        <v>9.375</v>
      </c>
      <c r="Y83" s="9">
        <f t="shared" si="30"/>
        <v>0</v>
      </c>
      <c r="Z83" s="9">
        <f t="shared" si="30"/>
        <v>16.875</v>
      </c>
      <c r="AA83" s="9">
        <f t="shared" si="30"/>
        <v>16.875</v>
      </c>
      <c r="AB83" s="9">
        <f t="shared" si="30"/>
        <v>0</v>
      </c>
      <c r="AC83" s="9">
        <f t="shared" si="30"/>
        <v>0</v>
      </c>
      <c r="AD83" s="9">
        <f t="shared" si="30"/>
        <v>0</v>
      </c>
      <c r="AE83" s="9">
        <f t="shared" si="30"/>
        <v>0</v>
      </c>
      <c r="AF83" s="9">
        <f t="shared" si="30"/>
        <v>0</v>
      </c>
      <c r="AG83" s="9">
        <f t="shared" si="30"/>
        <v>0</v>
      </c>
      <c r="AH83" s="9">
        <f t="shared" si="30"/>
        <v>0</v>
      </c>
      <c r="AI83" s="9">
        <f t="shared" si="30"/>
        <v>0</v>
      </c>
      <c r="AJ83" s="9">
        <f t="shared" si="30"/>
        <v>0</v>
      </c>
      <c r="AK83" s="9">
        <f t="shared" si="30"/>
        <v>0</v>
      </c>
      <c r="AL83" s="109">
        <f>SUM(B83:AK83)</f>
        <v>175.5</v>
      </c>
    </row>
    <row r="84" spans="1:38" ht="30" customHeight="1" x14ac:dyDescent="0.3">
      <c r="A84" s="167" t="s">
        <v>516</v>
      </c>
      <c r="B84" s="9">
        <f t="shared" ref="B84:AK84" si="31">+B18+B51</f>
        <v>0</v>
      </c>
      <c r="C84" s="9">
        <f t="shared" si="31"/>
        <v>0</v>
      </c>
      <c r="D84" s="9">
        <f t="shared" si="31"/>
        <v>0</v>
      </c>
      <c r="E84" s="9">
        <f t="shared" si="31"/>
        <v>9.375</v>
      </c>
      <c r="F84" s="9">
        <f t="shared" si="31"/>
        <v>9.375</v>
      </c>
      <c r="G84" s="9">
        <f t="shared" si="31"/>
        <v>0</v>
      </c>
      <c r="H84" s="9">
        <f t="shared" si="31"/>
        <v>0</v>
      </c>
      <c r="I84" s="9">
        <f t="shared" si="31"/>
        <v>9.375</v>
      </c>
      <c r="J84" s="9">
        <f t="shared" si="31"/>
        <v>9.375</v>
      </c>
      <c r="K84" s="9">
        <f t="shared" si="31"/>
        <v>14.0625</v>
      </c>
      <c r="L84" s="9">
        <f t="shared" si="31"/>
        <v>14.0625</v>
      </c>
      <c r="M84" s="9">
        <f t="shared" si="31"/>
        <v>11.25</v>
      </c>
      <c r="N84" s="9">
        <f t="shared" si="31"/>
        <v>11.25</v>
      </c>
      <c r="O84" s="9">
        <f t="shared" si="31"/>
        <v>4.6875</v>
      </c>
      <c r="P84" s="9">
        <f t="shared" si="31"/>
        <v>4.6875</v>
      </c>
      <c r="Q84" s="9">
        <f t="shared" si="31"/>
        <v>9.375</v>
      </c>
      <c r="R84" s="9">
        <f t="shared" si="31"/>
        <v>9.375</v>
      </c>
      <c r="S84" s="9">
        <f t="shared" si="31"/>
        <v>14.0625</v>
      </c>
      <c r="T84" s="9">
        <f t="shared" si="31"/>
        <v>14.0625</v>
      </c>
      <c r="U84" s="9">
        <f t="shared" si="31"/>
        <v>11.25</v>
      </c>
      <c r="V84" s="9">
        <f t="shared" si="31"/>
        <v>11.25</v>
      </c>
      <c r="W84" s="9">
        <f t="shared" si="31"/>
        <v>4.6875</v>
      </c>
      <c r="X84" s="9">
        <f t="shared" si="31"/>
        <v>4.6875</v>
      </c>
      <c r="Y84" s="9">
        <f t="shared" si="31"/>
        <v>0</v>
      </c>
      <c r="Z84" s="9">
        <f t="shared" si="31"/>
        <v>16.875</v>
      </c>
      <c r="AA84" s="9">
        <f t="shared" si="31"/>
        <v>16.875</v>
      </c>
      <c r="AB84" s="9">
        <f t="shared" si="31"/>
        <v>0</v>
      </c>
      <c r="AC84" s="9">
        <f t="shared" si="31"/>
        <v>0</v>
      </c>
      <c r="AD84" s="9">
        <f t="shared" si="31"/>
        <v>0</v>
      </c>
      <c r="AE84" s="9">
        <f t="shared" si="31"/>
        <v>0</v>
      </c>
      <c r="AF84" s="9">
        <f t="shared" si="31"/>
        <v>0</v>
      </c>
      <c r="AG84" s="9">
        <f t="shared" si="31"/>
        <v>0</v>
      </c>
      <c r="AH84" s="9">
        <f t="shared" si="31"/>
        <v>0</v>
      </c>
      <c r="AI84" s="9">
        <f t="shared" si="31"/>
        <v>0</v>
      </c>
      <c r="AJ84" s="9">
        <f t="shared" si="31"/>
        <v>0</v>
      </c>
      <c r="AK84" s="9">
        <f t="shared" si="31"/>
        <v>0</v>
      </c>
      <c r="AL84" s="109">
        <f>SUM(B84:AK84)</f>
        <v>210</v>
      </c>
    </row>
    <row r="85" spans="1:38" ht="30" customHeight="1" x14ac:dyDescent="0.3">
      <c r="A85" s="167" t="str">
        <f>+Dados!A21</f>
        <v>…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109">
        <f>SUM(B85:AK85)</f>
        <v>0</v>
      </c>
    </row>
    <row r="86" spans="1:38" ht="30" customHeight="1" x14ac:dyDescent="0.3">
      <c r="A86" s="168" t="s">
        <v>601</v>
      </c>
      <c r="B86" s="9">
        <f>SUM(B83:B85)</f>
        <v>0</v>
      </c>
      <c r="C86" s="9">
        <f t="shared" ref="C86:AK86" si="32">SUM(C83:C85)</f>
        <v>0</v>
      </c>
      <c r="D86" s="9">
        <f t="shared" si="32"/>
        <v>9.375</v>
      </c>
      <c r="E86" s="9">
        <f t="shared" si="32"/>
        <v>18.75</v>
      </c>
      <c r="F86" s="9">
        <f t="shared" si="32"/>
        <v>21.375</v>
      </c>
      <c r="G86" s="9">
        <f t="shared" si="32"/>
        <v>12</v>
      </c>
      <c r="H86" s="9">
        <f t="shared" si="32"/>
        <v>0</v>
      </c>
      <c r="I86" s="9">
        <f t="shared" si="32"/>
        <v>9.375</v>
      </c>
      <c r="J86" s="9">
        <f t="shared" si="32"/>
        <v>9.375</v>
      </c>
      <c r="K86" s="9">
        <f t="shared" si="32"/>
        <v>23.4375</v>
      </c>
      <c r="L86" s="9">
        <f t="shared" si="32"/>
        <v>23.4375</v>
      </c>
      <c r="M86" s="9">
        <f t="shared" si="32"/>
        <v>11.25</v>
      </c>
      <c r="N86" s="9">
        <f t="shared" si="32"/>
        <v>11.25</v>
      </c>
      <c r="O86" s="9">
        <f t="shared" si="32"/>
        <v>14.0625</v>
      </c>
      <c r="P86" s="9">
        <f t="shared" si="32"/>
        <v>14.0625</v>
      </c>
      <c r="Q86" s="9">
        <f t="shared" si="32"/>
        <v>21.375</v>
      </c>
      <c r="R86" s="9">
        <f t="shared" si="32"/>
        <v>21.375</v>
      </c>
      <c r="S86" s="9">
        <f t="shared" si="32"/>
        <v>23.4375</v>
      </c>
      <c r="T86" s="9">
        <f t="shared" si="32"/>
        <v>23.4375</v>
      </c>
      <c r="U86" s="9">
        <f t="shared" si="32"/>
        <v>11.25</v>
      </c>
      <c r="V86" s="9">
        <f t="shared" si="32"/>
        <v>11.25</v>
      </c>
      <c r="W86" s="9">
        <f t="shared" si="32"/>
        <v>14.0625</v>
      </c>
      <c r="X86" s="9">
        <f t="shared" si="32"/>
        <v>14.0625</v>
      </c>
      <c r="Y86" s="9">
        <f t="shared" si="32"/>
        <v>0</v>
      </c>
      <c r="Z86" s="9">
        <f t="shared" si="32"/>
        <v>33.75</v>
      </c>
      <c r="AA86" s="9">
        <f t="shared" si="32"/>
        <v>33.75</v>
      </c>
      <c r="AB86" s="9">
        <f t="shared" si="32"/>
        <v>0</v>
      </c>
      <c r="AC86" s="9">
        <f t="shared" si="32"/>
        <v>0</v>
      </c>
      <c r="AD86" s="9">
        <f t="shared" si="32"/>
        <v>0</v>
      </c>
      <c r="AE86" s="9">
        <f t="shared" si="32"/>
        <v>0</v>
      </c>
      <c r="AF86" s="9">
        <f t="shared" si="32"/>
        <v>0</v>
      </c>
      <c r="AG86" s="9">
        <f t="shared" si="32"/>
        <v>0</v>
      </c>
      <c r="AH86" s="9">
        <f t="shared" si="32"/>
        <v>0</v>
      </c>
      <c r="AI86" s="9">
        <f t="shared" si="32"/>
        <v>0</v>
      </c>
      <c r="AJ86" s="9">
        <f t="shared" si="32"/>
        <v>0</v>
      </c>
      <c r="AK86" s="9">
        <f t="shared" si="32"/>
        <v>0</v>
      </c>
      <c r="AL86" s="171">
        <f>SUM(AL83:AL85)</f>
        <v>385.5</v>
      </c>
    </row>
    <row r="87" spans="1:38" s="169" customFormat="1" ht="10.199999999999999" customHeight="1" x14ac:dyDescent="0.3">
      <c r="A87" s="172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109"/>
    </row>
    <row r="88" spans="1:38" ht="25.2" customHeight="1" x14ac:dyDescent="0.3">
      <c r="A88" s="168" t="s">
        <v>599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109"/>
    </row>
    <row r="89" spans="1:38" ht="25.2" customHeight="1" x14ac:dyDescent="0.3">
      <c r="A89" s="167" t="str">
        <f>+Dados!A54</f>
        <v xml:space="preserve">Tratorista 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109">
        <f>+AL23+AL56</f>
        <v>385.5</v>
      </c>
    </row>
    <row r="90" spans="1:38" ht="25.2" customHeight="1" x14ac:dyDescent="0.3">
      <c r="A90" s="167" t="str">
        <f>+Dados!A55</f>
        <v xml:space="preserve">Trabalhadores 
permanentes 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109">
        <f>+AL24+AL57</f>
        <v>7260</v>
      </c>
    </row>
    <row r="91" spans="1:38" ht="25.2" customHeight="1" x14ac:dyDescent="0.3">
      <c r="A91" s="167" t="str">
        <f>+Dados!A56</f>
        <v>…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109"/>
    </row>
    <row r="92" spans="1:38" ht="25.2" customHeight="1" x14ac:dyDescent="0.3">
      <c r="A92" s="168" t="s">
        <v>604</v>
      </c>
      <c r="B92" s="9">
        <f>SUM(B89:B90)</f>
        <v>0</v>
      </c>
      <c r="C92" s="9">
        <f t="shared" ref="C92:AK92" si="33">SUM(C89:C90)</f>
        <v>0</v>
      </c>
      <c r="D92" s="9">
        <f t="shared" si="33"/>
        <v>0</v>
      </c>
      <c r="E92" s="9">
        <f t="shared" si="33"/>
        <v>0</v>
      </c>
      <c r="F92" s="9">
        <f t="shared" si="33"/>
        <v>0</v>
      </c>
      <c r="G92" s="9">
        <f t="shared" si="33"/>
        <v>0</v>
      </c>
      <c r="H92" s="9">
        <f t="shared" si="33"/>
        <v>0</v>
      </c>
      <c r="I92" s="9">
        <f t="shared" si="33"/>
        <v>0</v>
      </c>
      <c r="J92" s="9">
        <f t="shared" si="33"/>
        <v>0</v>
      </c>
      <c r="K92" s="9">
        <f t="shared" si="33"/>
        <v>0</v>
      </c>
      <c r="L92" s="9">
        <f t="shared" si="33"/>
        <v>0</v>
      </c>
      <c r="M92" s="9">
        <f t="shared" si="33"/>
        <v>0</v>
      </c>
      <c r="N92" s="9">
        <f t="shared" si="33"/>
        <v>0</v>
      </c>
      <c r="O92" s="9">
        <f t="shared" si="33"/>
        <v>0</v>
      </c>
      <c r="P92" s="9">
        <f t="shared" si="33"/>
        <v>0</v>
      </c>
      <c r="Q92" s="9">
        <f t="shared" si="33"/>
        <v>0</v>
      </c>
      <c r="R92" s="9">
        <f t="shared" si="33"/>
        <v>0</v>
      </c>
      <c r="S92" s="9">
        <f t="shared" si="33"/>
        <v>0</v>
      </c>
      <c r="T92" s="9">
        <f t="shared" si="33"/>
        <v>0</v>
      </c>
      <c r="U92" s="9">
        <f t="shared" si="33"/>
        <v>0</v>
      </c>
      <c r="V92" s="9">
        <f t="shared" si="33"/>
        <v>0</v>
      </c>
      <c r="W92" s="9">
        <f t="shared" si="33"/>
        <v>0</v>
      </c>
      <c r="X92" s="9">
        <f t="shared" si="33"/>
        <v>0</v>
      </c>
      <c r="Y92" s="9">
        <f t="shared" si="33"/>
        <v>0</v>
      </c>
      <c r="Z92" s="9">
        <f t="shared" si="33"/>
        <v>0</v>
      </c>
      <c r="AA92" s="9">
        <f t="shared" si="33"/>
        <v>0</v>
      </c>
      <c r="AB92" s="9">
        <f t="shared" si="33"/>
        <v>0</v>
      </c>
      <c r="AC92" s="9">
        <f t="shared" si="33"/>
        <v>0</v>
      </c>
      <c r="AD92" s="9">
        <f t="shared" si="33"/>
        <v>0</v>
      </c>
      <c r="AE92" s="9">
        <f t="shared" si="33"/>
        <v>0</v>
      </c>
      <c r="AF92" s="9">
        <f t="shared" si="33"/>
        <v>0</v>
      </c>
      <c r="AG92" s="9">
        <f t="shared" si="33"/>
        <v>0</v>
      </c>
      <c r="AH92" s="9">
        <f t="shared" si="33"/>
        <v>0</v>
      </c>
      <c r="AI92" s="9">
        <f t="shared" si="33"/>
        <v>0</v>
      </c>
      <c r="AJ92" s="9">
        <f t="shared" si="33"/>
        <v>0</v>
      </c>
      <c r="AK92" s="9">
        <f t="shared" si="33"/>
        <v>0</v>
      </c>
      <c r="AL92" s="171">
        <f>SUM(AL89:AL91)</f>
        <v>7645.5</v>
      </c>
    </row>
    <row r="93" spans="1:38" s="169" customFormat="1" ht="10.199999999999999" customHeight="1" x14ac:dyDescent="0.3">
      <c r="A93" s="172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109"/>
    </row>
    <row r="94" spans="1:38" ht="25.2" customHeight="1" x14ac:dyDescent="0.3">
      <c r="A94" s="168" t="s">
        <v>600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109"/>
    </row>
    <row r="95" spans="1:38" ht="25.2" customHeight="1" x14ac:dyDescent="0.3">
      <c r="A95" s="167" t="str">
        <f>+Dados!A58</f>
        <v>poda</v>
      </c>
      <c r="B95" s="9">
        <f t="shared" ref="B95:AK95" si="34">+B29+B62</f>
        <v>0</v>
      </c>
      <c r="C95" s="9">
        <f t="shared" si="34"/>
        <v>0</v>
      </c>
      <c r="D95" s="9">
        <f t="shared" si="34"/>
        <v>375</v>
      </c>
      <c r="E95" s="9">
        <f t="shared" si="34"/>
        <v>375</v>
      </c>
      <c r="F95" s="9">
        <f t="shared" si="34"/>
        <v>375</v>
      </c>
      <c r="G95" s="9">
        <f t="shared" si="34"/>
        <v>0</v>
      </c>
      <c r="H95" s="9">
        <f t="shared" si="34"/>
        <v>0</v>
      </c>
      <c r="I95" s="9">
        <f t="shared" si="34"/>
        <v>0</v>
      </c>
      <c r="J95" s="9">
        <f t="shared" si="34"/>
        <v>0</v>
      </c>
      <c r="K95" s="9">
        <f t="shared" si="34"/>
        <v>0</v>
      </c>
      <c r="L95" s="9">
        <f t="shared" si="34"/>
        <v>0</v>
      </c>
      <c r="M95" s="9">
        <f t="shared" si="34"/>
        <v>0</v>
      </c>
      <c r="N95" s="9">
        <f t="shared" si="34"/>
        <v>0</v>
      </c>
      <c r="O95" s="9">
        <f t="shared" si="34"/>
        <v>0</v>
      </c>
      <c r="P95" s="9">
        <f t="shared" si="34"/>
        <v>0</v>
      </c>
      <c r="Q95" s="9">
        <f t="shared" si="34"/>
        <v>0</v>
      </c>
      <c r="R95" s="9">
        <f t="shared" si="34"/>
        <v>0</v>
      </c>
      <c r="S95" s="9">
        <f t="shared" si="34"/>
        <v>0</v>
      </c>
      <c r="T95" s="9">
        <f t="shared" si="34"/>
        <v>0</v>
      </c>
      <c r="U95" s="9">
        <f t="shared" si="34"/>
        <v>0</v>
      </c>
      <c r="V95" s="9">
        <f t="shared" si="34"/>
        <v>0</v>
      </c>
      <c r="W95" s="9">
        <f t="shared" si="34"/>
        <v>0</v>
      </c>
      <c r="X95" s="9">
        <f t="shared" si="34"/>
        <v>0</v>
      </c>
      <c r="Y95" s="9">
        <f t="shared" si="34"/>
        <v>0</v>
      </c>
      <c r="Z95" s="9">
        <f t="shared" si="34"/>
        <v>0</v>
      </c>
      <c r="AA95" s="9">
        <f t="shared" si="34"/>
        <v>0</v>
      </c>
      <c r="AB95" s="9">
        <f t="shared" si="34"/>
        <v>0</v>
      </c>
      <c r="AC95" s="9">
        <f t="shared" si="34"/>
        <v>0</v>
      </c>
      <c r="AD95" s="9">
        <f t="shared" si="34"/>
        <v>0</v>
      </c>
      <c r="AE95" s="9">
        <f t="shared" si="34"/>
        <v>0</v>
      </c>
      <c r="AF95" s="9">
        <f t="shared" si="34"/>
        <v>0</v>
      </c>
      <c r="AG95" s="9">
        <f t="shared" si="34"/>
        <v>0</v>
      </c>
      <c r="AH95" s="9">
        <f t="shared" si="34"/>
        <v>0</v>
      </c>
      <c r="AI95" s="9">
        <f t="shared" si="34"/>
        <v>0</v>
      </c>
      <c r="AJ95" s="9">
        <f t="shared" si="34"/>
        <v>0</v>
      </c>
      <c r="AK95" s="9">
        <f t="shared" si="34"/>
        <v>0</v>
      </c>
      <c r="AL95" s="109">
        <f>SUM(B95:AK95)</f>
        <v>1125</v>
      </c>
    </row>
    <row r="96" spans="1:38" ht="25.2" customHeight="1" x14ac:dyDescent="0.3">
      <c r="A96" s="167" t="str">
        <f>+Dados!A61</f>
        <v>enrola</v>
      </c>
      <c r="B96" s="9">
        <f t="shared" ref="B96:AK96" si="35">+B30+B63</f>
        <v>0</v>
      </c>
      <c r="C96" s="9">
        <f t="shared" si="35"/>
        <v>0</v>
      </c>
      <c r="D96" s="9">
        <f t="shared" si="35"/>
        <v>0</v>
      </c>
      <c r="E96" s="9">
        <f t="shared" si="35"/>
        <v>0</v>
      </c>
      <c r="F96" s="9">
        <f t="shared" si="35"/>
        <v>0</v>
      </c>
      <c r="G96" s="9">
        <f t="shared" si="35"/>
        <v>0</v>
      </c>
      <c r="H96" s="9">
        <f t="shared" si="35"/>
        <v>0</v>
      </c>
      <c r="I96" s="9">
        <f t="shared" si="35"/>
        <v>0</v>
      </c>
      <c r="J96" s="9">
        <f t="shared" si="35"/>
        <v>0</v>
      </c>
      <c r="K96" s="9">
        <f t="shared" si="35"/>
        <v>0</v>
      </c>
      <c r="L96" s="9">
        <f t="shared" si="35"/>
        <v>0</v>
      </c>
      <c r="M96" s="9">
        <f t="shared" si="35"/>
        <v>0</v>
      </c>
      <c r="N96" s="9">
        <f t="shared" si="35"/>
        <v>450</v>
      </c>
      <c r="O96" s="9">
        <f t="shared" si="35"/>
        <v>450</v>
      </c>
      <c r="P96" s="9">
        <f t="shared" si="35"/>
        <v>0</v>
      </c>
      <c r="Q96" s="9">
        <f t="shared" si="35"/>
        <v>0</v>
      </c>
      <c r="R96" s="9">
        <f t="shared" si="35"/>
        <v>0</v>
      </c>
      <c r="S96" s="9">
        <f t="shared" si="35"/>
        <v>450</v>
      </c>
      <c r="T96" s="9">
        <f t="shared" si="35"/>
        <v>450</v>
      </c>
      <c r="U96" s="9">
        <f t="shared" si="35"/>
        <v>0</v>
      </c>
      <c r="V96" s="9">
        <f t="shared" si="35"/>
        <v>0</v>
      </c>
      <c r="W96" s="9">
        <f t="shared" si="35"/>
        <v>0</v>
      </c>
      <c r="X96" s="9">
        <f t="shared" si="35"/>
        <v>0</v>
      </c>
      <c r="Y96" s="9">
        <f t="shared" si="35"/>
        <v>0</v>
      </c>
      <c r="Z96" s="9">
        <f t="shared" si="35"/>
        <v>0</v>
      </c>
      <c r="AA96" s="9">
        <f t="shared" si="35"/>
        <v>0</v>
      </c>
      <c r="AB96" s="9">
        <f t="shared" si="35"/>
        <v>0</v>
      </c>
      <c r="AC96" s="9">
        <f t="shared" si="35"/>
        <v>0</v>
      </c>
      <c r="AD96" s="9">
        <f t="shared" si="35"/>
        <v>0</v>
      </c>
      <c r="AE96" s="9">
        <f t="shared" si="35"/>
        <v>0</v>
      </c>
      <c r="AF96" s="9">
        <f t="shared" si="35"/>
        <v>0</v>
      </c>
      <c r="AG96" s="9">
        <f t="shared" si="35"/>
        <v>0</v>
      </c>
      <c r="AH96" s="9">
        <f t="shared" si="35"/>
        <v>0</v>
      </c>
      <c r="AI96" s="9">
        <f t="shared" si="35"/>
        <v>0</v>
      </c>
      <c r="AJ96" s="9">
        <f t="shared" si="35"/>
        <v>0</v>
      </c>
      <c r="AK96" s="9">
        <f t="shared" si="35"/>
        <v>0</v>
      </c>
      <c r="AL96" s="109">
        <f>SUM(B96:AK96)</f>
        <v>1800</v>
      </c>
    </row>
    <row r="97" spans="1:38" ht="25.2" customHeight="1" x14ac:dyDescent="0.3">
      <c r="A97" s="167" t="str">
        <f>+Dados!A62</f>
        <v>vindima</v>
      </c>
      <c r="B97" s="9">
        <f t="shared" ref="B97:AK97" si="36">+B31+B64</f>
        <v>0</v>
      </c>
      <c r="C97" s="9">
        <f t="shared" si="36"/>
        <v>0</v>
      </c>
      <c r="D97" s="9">
        <f t="shared" si="36"/>
        <v>0</v>
      </c>
      <c r="E97" s="9">
        <f t="shared" si="36"/>
        <v>0</v>
      </c>
      <c r="F97" s="9">
        <f t="shared" si="36"/>
        <v>0</v>
      </c>
      <c r="G97" s="9">
        <f t="shared" si="36"/>
        <v>0</v>
      </c>
      <c r="H97" s="9">
        <f t="shared" si="36"/>
        <v>0</v>
      </c>
      <c r="I97" s="9">
        <f t="shared" si="36"/>
        <v>0</v>
      </c>
      <c r="J97" s="9">
        <f t="shared" si="36"/>
        <v>0</v>
      </c>
      <c r="K97" s="9">
        <f t="shared" si="36"/>
        <v>0</v>
      </c>
      <c r="L97" s="9">
        <f t="shared" si="36"/>
        <v>0</v>
      </c>
      <c r="M97" s="9">
        <f t="shared" si="36"/>
        <v>0</v>
      </c>
      <c r="N97" s="9">
        <f t="shared" si="36"/>
        <v>0</v>
      </c>
      <c r="O97" s="9">
        <f t="shared" si="36"/>
        <v>0</v>
      </c>
      <c r="P97" s="9">
        <f t="shared" si="36"/>
        <v>0</v>
      </c>
      <c r="Q97" s="9">
        <f t="shared" si="36"/>
        <v>0</v>
      </c>
      <c r="R97" s="9">
        <f t="shared" si="36"/>
        <v>0</v>
      </c>
      <c r="S97" s="9">
        <f t="shared" si="36"/>
        <v>0</v>
      </c>
      <c r="T97" s="9">
        <f t="shared" si="36"/>
        <v>0</v>
      </c>
      <c r="U97" s="9">
        <f t="shared" si="36"/>
        <v>0</v>
      </c>
      <c r="V97" s="9">
        <f t="shared" si="36"/>
        <v>0</v>
      </c>
      <c r="W97" s="9">
        <f t="shared" si="36"/>
        <v>0</v>
      </c>
      <c r="X97" s="9">
        <f t="shared" si="36"/>
        <v>0</v>
      </c>
      <c r="Y97" s="9">
        <f t="shared" si="36"/>
        <v>0</v>
      </c>
      <c r="Z97" s="9">
        <f t="shared" si="36"/>
        <v>337.5</v>
      </c>
      <c r="AA97" s="9">
        <f t="shared" si="36"/>
        <v>337.5</v>
      </c>
      <c r="AB97" s="9">
        <f t="shared" si="36"/>
        <v>0</v>
      </c>
      <c r="AC97" s="9">
        <f t="shared" si="36"/>
        <v>0</v>
      </c>
      <c r="AD97" s="9">
        <f t="shared" si="36"/>
        <v>0</v>
      </c>
      <c r="AE97" s="9">
        <f t="shared" si="36"/>
        <v>0</v>
      </c>
      <c r="AF97" s="9">
        <f t="shared" si="36"/>
        <v>0</v>
      </c>
      <c r="AG97" s="9">
        <f t="shared" si="36"/>
        <v>0</v>
      </c>
      <c r="AH97" s="9">
        <f t="shared" si="36"/>
        <v>0</v>
      </c>
      <c r="AI97" s="9">
        <f t="shared" si="36"/>
        <v>0</v>
      </c>
      <c r="AJ97" s="9">
        <f t="shared" si="36"/>
        <v>0</v>
      </c>
      <c r="AK97" s="9">
        <f t="shared" si="36"/>
        <v>0</v>
      </c>
      <c r="AL97" s="109">
        <f>SUM(B97:AK97)</f>
        <v>675</v>
      </c>
    </row>
    <row r="98" spans="1:38" ht="25.2" customHeight="1" x14ac:dyDescent="0.3">
      <c r="A98" s="167" t="str">
        <f>+Dados!A63</f>
        <v>…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109"/>
    </row>
    <row r="99" spans="1:38" ht="25.2" customHeight="1" x14ac:dyDescent="0.3">
      <c r="A99" s="168" t="s">
        <v>603</v>
      </c>
      <c r="B99" s="9">
        <f>SUM(B95:B98)</f>
        <v>0</v>
      </c>
      <c r="C99" s="9">
        <f t="shared" ref="C99:AK99" si="37">SUM(C95:C98)</f>
        <v>0</v>
      </c>
      <c r="D99" s="9">
        <f t="shared" si="37"/>
        <v>375</v>
      </c>
      <c r="E99" s="9">
        <f t="shared" si="37"/>
        <v>375</v>
      </c>
      <c r="F99" s="9">
        <f t="shared" si="37"/>
        <v>375</v>
      </c>
      <c r="G99" s="9">
        <f t="shared" si="37"/>
        <v>0</v>
      </c>
      <c r="H99" s="9">
        <f t="shared" si="37"/>
        <v>0</v>
      </c>
      <c r="I99" s="9">
        <f t="shared" si="37"/>
        <v>0</v>
      </c>
      <c r="J99" s="9">
        <f t="shared" si="37"/>
        <v>0</v>
      </c>
      <c r="K99" s="9">
        <f t="shared" si="37"/>
        <v>0</v>
      </c>
      <c r="L99" s="9">
        <f t="shared" si="37"/>
        <v>0</v>
      </c>
      <c r="M99" s="9">
        <f t="shared" si="37"/>
        <v>0</v>
      </c>
      <c r="N99" s="9">
        <f t="shared" si="37"/>
        <v>450</v>
      </c>
      <c r="O99" s="9">
        <f t="shared" si="37"/>
        <v>450</v>
      </c>
      <c r="P99" s="9">
        <f t="shared" si="37"/>
        <v>0</v>
      </c>
      <c r="Q99" s="9">
        <f t="shared" si="37"/>
        <v>0</v>
      </c>
      <c r="R99" s="9">
        <f t="shared" si="37"/>
        <v>0</v>
      </c>
      <c r="S99" s="9">
        <f t="shared" si="37"/>
        <v>450</v>
      </c>
      <c r="T99" s="9">
        <f t="shared" si="37"/>
        <v>450</v>
      </c>
      <c r="U99" s="9">
        <f t="shared" si="37"/>
        <v>0</v>
      </c>
      <c r="V99" s="9">
        <f t="shared" si="37"/>
        <v>0</v>
      </c>
      <c r="W99" s="9">
        <f t="shared" si="37"/>
        <v>0</v>
      </c>
      <c r="X99" s="9">
        <f t="shared" si="37"/>
        <v>0</v>
      </c>
      <c r="Y99" s="9">
        <f t="shared" si="37"/>
        <v>0</v>
      </c>
      <c r="Z99" s="9">
        <f t="shared" si="37"/>
        <v>337.5</v>
      </c>
      <c r="AA99" s="9">
        <f t="shared" si="37"/>
        <v>337.5</v>
      </c>
      <c r="AB99" s="9">
        <f t="shared" si="37"/>
        <v>0</v>
      </c>
      <c r="AC99" s="9">
        <f t="shared" si="37"/>
        <v>0</v>
      </c>
      <c r="AD99" s="9">
        <f t="shared" si="37"/>
        <v>0</v>
      </c>
      <c r="AE99" s="9">
        <f t="shared" si="37"/>
        <v>0</v>
      </c>
      <c r="AF99" s="9">
        <f t="shared" si="37"/>
        <v>0</v>
      </c>
      <c r="AG99" s="9">
        <f t="shared" si="37"/>
        <v>0</v>
      </c>
      <c r="AH99" s="9">
        <f t="shared" si="37"/>
        <v>0</v>
      </c>
      <c r="AI99" s="9">
        <f t="shared" si="37"/>
        <v>0</v>
      </c>
      <c r="AJ99" s="9">
        <f t="shared" si="37"/>
        <v>0</v>
      </c>
      <c r="AK99" s="9">
        <f t="shared" si="37"/>
        <v>0</v>
      </c>
      <c r="AL99" s="171">
        <f>SUM(AL95:AL98)</f>
        <v>3600</v>
      </c>
    </row>
    <row r="100" spans="1:38" s="169" customFormat="1" ht="10.199999999999999" customHeight="1" x14ac:dyDescent="0.3">
      <c r="A100" s="172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109"/>
    </row>
    <row r="101" spans="1:38" ht="25.2" customHeight="1" x14ac:dyDescent="0.3">
      <c r="A101" s="216" t="s">
        <v>597</v>
      </c>
      <c r="B101" s="217"/>
      <c r="C101" s="217"/>
      <c r="D101" s="215">
        <f>+D99/Dados!$G$14</f>
        <v>37.5</v>
      </c>
      <c r="E101" s="215">
        <f>+D101</f>
        <v>37.5</v>
      </c>
      <c r="F101" s="215">
        <f>+E101</f>
        <v>37.5</v>
      </c>
      <c r="G101" s="217"/>
      <c r="H101" s="217"/>
      <c r="I101" s="217"/>
      <c r="J101" s="217"/>
      <c r="K101" s="217"/>
      <c r="L101" s="217"/>
      <c r="M101" s="217"/>
      <c r="N101" s="218">
        <f>+N99/Dados!$G$14</f>
        <v>45</v>
      </c>
      <c r="O101" s="218">
        <f>+N101</f>
        <v>45</v>
      </c>
      <c r="P101" s="217"/>
      <c r="Q101" s="217"/>
      <c r="R101" s="217"/>
      <c r="S101" s="218">
        <f>+N101</f>
        <v>45</v>
      </c>
      <c r="T101" s="218">
        <f>+N101</f>
        <v>45</v>
      </c>
      <c r="U101" s="217"/>
      <c r="V101" s="217"/>
      <c r="W101" s="217"/>
      <c r="X101" s="217"/>
      <c r="Y101" s="217"/>
      <c r="Z101" s="215">
        <f>+Z99/Dados!$G14</f>
        <v>33.75</v>
      </c>
      <c r="AA101" s="215">
        <f>+Z101</f>
        <v>33.75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5">
        <f>+AL99/Dados!G14</f>
        <v>360</v>
      </c>
    </row>
    <row r="102" spans="1:38" ht="25.2" customHeight="1" x14ac:dyDescent="0.3"/>
    <row r="103" spans="1:38" ht="25.2" customHeight="1" x14ac:dyDescent="0.3"/>
    <row r="104" spans="1:38" ht="25.2" customHeight="1" x14ac:dyDescent="0.3"/>
    <row r="105" spans="1:38" ht="19.95" customHeight="1" x14ac:dyDescent="0.3"/>
  </sheetData>
  <mergeCells count="38">
    <mergeCell ref="AA1:AA2"/>
    <mergeCell ref="AB1:AB2"/>
    <mergeCell ref="AC1:AC2"/>
    <mergeCell ref="AD1:AD2"/>
    <mergeCell ref="AK1:AK2"/>
    <mergeCell ref="AL1:AL2"/>
    <mergeCell ref="AE1:AE2"/>
    <mergeCell ref="AF1:AF2"/>
    <mergeCell ref="AG1:AG2"/>
    <mergeCell ref="AH1:AH2"/>
    <mergeCell ref="AI1:AI2"/>
    <mergeCell ref="AJ1:AJ2"/>
    <mergeCell ref="Q1:Q2"/>
    <mergeCell ref="R1:R2"/>
    <mergeCell ref="S1:S2"/>
    <mergeCell ref="T1:T2"/>
    <mergeCell ref="Y1:Y2"/>
    <mergeCell ref="Z1:Z2"/>
    <mergeCell ref="C1:C2"/>
    <mergeCell ref="D1:D2"/>
    <mergeCell ref="E1:E2"/>
    <mergeCell ref="F1:F2"/>
    <mergeCell ref="G1:G2"/>
    <mergeCell ref="X1:X2"/>
    <mergeCell ref="M1:M2"/>
    <mergeCell ref="N1:N2"/>
    <mergeCell ref="O1:O2"/>
    <mergeCell ref="P1:P2"/>
    <mergeCell ref="A68:AL68"/>
    <mergeCell ref="H1:H2"/>
    <mergeCell ref="I1:I2"/>
    <mergeCell ref="J1:J2"/>
    <mergeCell ref="K1:K2"/>
    <mergeCell ref="V1:V2"/>
    <mergeCell ref="W1:W2"/>
    <mergeCell ref="L1:L2"/>
    <mergeCell ref="U1:U2"/>
    <mergeCell ref="B1:B2"/>
  </mergeCells>
  <hyperlinks>
    <hyperlink ref="A1" location="Indice!A1" display="Índice"/>
  </hyperlinks>
  <printOptions horizontalCentered="1" gridLines="1"/>
  <pageMargins left="3.937007874015748E-2" right="3.937007874015748E-2" top="7.874015748031496E-2" bottom="7.874015748031496E-2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90" zoomScaleNormal="90" workbookViewId="0">
      <pane ySplit="2" topLeftCell="A6" activePane="bottomLeft" state="frozen"/>
      <selection pane="bottomLeft" activeCell="L19" sqref="L19"/>
    </sheetView>
  </sheetViews>
  <sheetFormatPr defaultRowHeight="13.8" x14ac:dyDescent="0.3"/>
  <cols>
    <col min="1" max="1" width="10.44140625" style="182" customWidth="1"/>
    <col min="2" max="3" width="8.88671875" style="182"/>
    <col min="4" max="4" width="9.33203125" style="182" customWidth="1"/>
    <col min="5" max="5" width="12.33203125" style="182" customWidth="1"/>
    <col min="6" max="8" width="9.109375" style="182" customWidth="1"/>
    <col min="9" max="16384" width="8.88671875" style="182"/>
  </cols>
  <sheetData>
    <row r="1" spans="1:8" ht="19.95" customHeight="1" x14ac:dyDescent="0.3">
      <c r="A1" s="462" t="s">
        <v>26</v>
      </c>
      <c r="B1" s="463"/>
      <c r="C1" s="463"/>
      <c r="D1" s="463"/>
      <c r="E1" s="462" t="s">
        <v>25</v>
      </c>
      <c r="F1" s="463"/>
      <c r="G1" s="463"/>
      <c r="H1" s="463"/>
    </row>
    <row r="2" spans="1:8" ht="19.95" customHeight="1" x14ac:dyDescent="0.3">
      <c r="A2" s="220" t="s">
        <v>32</v>
      </c>
      <c r="B2" s="220" t="s">
        <v>33</v>
      </c>
      <c r="C2" s="239" t="s">
        <v>613</v>
      </c>
      <c r="D2" s="5" t="s">
        <v>687</v>
      </c>
      <c r="E2" s="220" t="s">
        <v>32</v>
      </c>
      <c r="F2" s="220" t="s">
        <v>33</v>
      </c>
      <c r="G2" s="220" t="s">
        <v>586</v>
      </c>
      <c r="H2" s="5" t="s">
        <v>688</v>
      </c>
    </row>
    <row r="3" spans="1:8" ht="19.95" customHeight="1" x14ac:dyDescent="0.3">
      <c r="A3" s="240" t="s">
        <v>583</v>
      </c>
      <c r="B3" s="241">
        <f>+Dados!G2</f>
        <v>6</v>
      </c>
      <c r="C3" s="464" t="s">
        <v>581</v>
      </c>
      <c r="D3" s="465"/>
      <c r="E3" s="465"/>
      <c r="F3" s="465"/>
      <c r="G3" s="465"/>
      <c r="H3" s="465"/>
    </row>
    <row r="4" spans="1:8" ht="19.95" customHeight="1" x14ac:dyDescent="0.3">
      <c r="C4" s="81"/>
      <c r="D4" s="81"/>
      <c r="E4" s="328" t="s">
        <v>692</v>
      </c>
      <c r="F4" s="110">
        <f>+Dados!G66</f>
        <v>6</v>
      </c>
      <c r="G4" s="265">
        <f>+Dados!H66</f>
        <v>5</v>
      </c>
      <c r="H4" s="265">
        <f>+Dados!K66*($B$3/$B$23)</f>
        <v>180</v>
      </c>
    </row>
    <row r="5" spans="1:8" ht="19.95" customHeight="1" x14ac:dyDescent="0.3">
      <c r="E5" s="329" t="s">
        <v>584</v>
      </c>
      <c r="F5" s="110">
        <f>+Dados!G68</f>
        <v>10</v>
      </c>
      <c r="G5" s="295">
        <f>+Dados!H68</f>
        <v>2.5</v>
      </c>
      <c r="H5" s="3">
        <f>+Dados!K68*($B$3/$B$23)</f>
        <v>450</v>
      </c>
    </row>
    <row r="6" spans="1:8" ht="19.95" customHeight="1" x14ac:dyDescent="0.3">
      <c r="E6" s="329" t="s">
        <v>585</v>
      </c>
      <c r="F6" s="110">
        <f>+Dados!G69</f>
        <v>10</v>
      </c>
      <c r="G6" s="295">
        <f>+Dados!H69</f>
        <v>2.5</v>
      </c>
      <c r="H6" s="3">
        <f>+Dados!K69*($B$3/$B$23)</f>
        <v>750</v>
      </c>
    </row>
    <row r="7" spans="1:8" ht="19.95" customHeight="1" x14ac:dyDescent="0.3">
      <c r="A7" s="399" t="s">
        <v>917</v>
      </c>
      <c r="E7" s="329" t="s">
        <v>587</v>
      </c>
      <c r="F7" s="110">
        <f>+Dados!G71</f>
        <v>0.5</v>
      </c>
      <c r="G7" s="295">
        <f>+Dados!H71</f>
        <v>300</v>
      </c>
      <c r="H7" s="3">
        <f>+Dados!K71*($B$3/$B$23)</f>
        <v>1800</v>
      </c>
    </row>
    <row r="8" spans="1:8" ht="19.95" customHeight="1" x14ac:dyDescent="0.3">
      <c r="E8" s="329" t="s">
        <v>588</v>
      </c>
      <c r="F8" s="110">
        <f>+Dados!G72</f>
        <v>0.5</v>
      </c>
      <c r="G8" s="295">
        <f>+Dados!H72</f>
        <v>300</v>
      </c>
      <c r="H8" s="3">
        <f>+Dados!K72*($B$3/$B$23)</f>
        <v>1800</v>
      </c>
    </row>
    <row r="9" spans="1:8" ht="19.95" customHeight="1" x14ac:dyDescent="0.3">
      <c r="E9" s="329" t="s">
        <v>589</v>
      </c>
      <c r="F9" s="110">
        <f>+Dados!G73</f>
        <v>0.5</v>
      </c>
      <c r="G9" s="295">
        <f>+Dados!H73</f>
        <v>50</v>
      </c>
      <c r="H9" s="3">
        <f>+Dados!K73*($B$3/$B$23)</f>
        <v>150</v>
      </c>
    </row>
    <row r="10" spans="1:8" ht="19.95" customHeight="1" x14ac:dyDescent="0.3">
      <c r="E10" s="329" t="s">
        <v>590</v>
      </c>
      <c r="F10" s="110">
        <f>+Dados!G75</f>
        <v>7.4999999999999997E-2</v>
      </c>
      <c r="G10" s="295">
        <f>+Dados!H75/3</f>
        <v>333.33333333333331</v>
      </c>
      <c r="H10" s="3">
        <f>+Dados!K75*($B$3/$B$23)</f>
        <v>450</v>
      </c>
    </row>
    <row r="11" spans="1:8" ht="19.95" customHeight="1" x14ac:dyDescent="0.3">
      <c r="E11" s="329" t="s">
        <v>40</v>
      </c>
    </row>
    <row r="12" spans="1:8" ht="19.95" customHeight="1" x14ac:dyDescent="0.3">
      <c r="E12" s="2"/>
      <c r="F12" s="181"/>
      <c r="G12" s="194" t="s">
        <v>689</v>
      </c>
      <c r="H12" s="189">
        <f>SUM(H4:H11)</f>
        <v>5580</v>
      </c>
    </row>
    <row r="13" spans="1:8" ht="19.95" customHeight="1" x14ac:dyDescent="0.3">
      <c r="A13" s="240" t="s">
        <v>583</v>
      </c>
      <c r="B13" s="241">
        <f>+Dados!G3</f>
        <v>3</v>
      </c>
      <c r="C13" s="275" t="s">
        <v>582</v>
      </c>
      <c r="D13" s="276"/>
      <c r="E13" s="276"/>
      <c r="F13" s="276"/>
      <c r="G13" s="276"/>
      <c r="H13" s="276"/>
    </row>
    <row r="14" spans="1:8" ht="19.95" customHeight="1" x14ac:dyDescent="0.3">
      <c r="C14" s="81"/>
      <c r="D14" s="81"/>
      <c r="E14" s="328" t="s">
        <v>692</v>
      </c>
      <c r="F14" s="110">
        <f t="shared" ref="F14:G20" si="0">+F4</f>
        <v>6</v>
      </c>
      <c r="G14" s="295">
        <f t="shared" si="0"/>
        <v>5</v>
      </c>
      <c r="H14" s="265">
        <f>+Dados!K66*($B$13/$B$23)</f>
        <v>90</v>
      </c>
    </row>
    <row r="15" spans="1:8" ht="19.95" customHeight="1" x14ac:dyDescent="0.3">
      <c r="E15" s="329" t="s">
        <v>584</v>
      </c>
      <c r="F15" s="110">
        <f t="shared" si="0"/>
        <v>10</v>
      </c>
      <c r="G15" s="295">
        <f t="shared" si="0"/>
        <v>2.5</v>
      </c>
      <c r="H15" s="3">
        <f>+Dados!K68*($B$13/$B$23)</f>
        <v>225</v>
      </c>
    </row>
    <row r="16" spans="1:8" ht="19.95" customHeight="1" x14ac:dyDescent="0.3">
      <c r="E16" s="329" t="s">
        <v>585</v>
      </c>
      <c r="F16" s="110">
        <f t="shared" si="0"/>
        <v>10</v>
      </c>
      <c r="G16" s="295">
        <f t="shared" si="0"/>
        <v>2.5</v>
      </c>
      <c r="H16" s="3">
        <f>+Dados!K69*($B$13/$B$23)</f>
        <v>375</v>
      </c>
    </row>
    <row r="17" spans="1:9" ht="19.95" customHeight="1" x14ac:dyDescent="0.3">
      <c r="E17" s="329" t="s">
        <v>587</v>
      </c>
      <c r="F17" s="110">
        <f t="shared" si="0"/>
        <v>0.5</v>
      </c>
      <c r="G17" s="295">
        <f t="shared" si="0"/>
        <v>300</v>
      </c>
      <c r="H17" s="3">
        <f>+Dados!K71*($B$13/$B$23)</f>
        <v>900</v>
      </c>
    </row>
    <row r="18" spans="1:9" ht="19.95" customHeight="1" x14ac:dyDescent="0.3">
      <c r="E18" s="329" t="s">
        <v>588</v>
      </c>
      <c r="F18" s="110">
        <f t="shared" si="0"/>
        <v>0.5</v>
      </c>
      <c r="G18" s="295">
        <f t="shared" si="0"/>
        <v>300</v>
      </c>
      <c r="H18" s="3">
        <f>+Dados!K72*($B$13/$B$23)</f>
        <v>900</v>
      </c>
    </row>
    <row r="19" spans="1:9" ht="19.95" customHeight="1" x14ac:dyDescent="0.3">
      <c r="E19" s="329" t="s">
        <v>589</v>
      </c>
      <c r="F19" s="110">
        <f t="shared" si="0"/>
        <v>0.5</v>
      </c>
      <c r="G19" s="295">
        <f t="shared" si="0"/>
        <v>50</v>
      </c>
      <c r="H19" s="3">
        <f>+Dados!K73*($B$13/$B$23)</f>
        <v>75</v>
      </c>
    </row>
    <row r="20" spans="1:9" ht="19.95" customHeight="1" x14ac:dyDescent="0.3">
      <c r="E20" s="329" t="s">
        <v>590</v>
      </c>
      <c r="F20" s="110">
        <f t="shared" si="0"/>
        <v>7.4999999999999997E-2</v>
      </c>
      <c r="G20" s="295">
        <f t="shared" si="0"/>
        <v>333.33333333333331</v>
      </c>
      <c r="H20" s="3">
        <f>+Dados!K75*($B$13/$B$23)</f>
        <v>225</v>
      </c>
    </row>
    <row r="21" spans="1:9" ht="19.95" customHeight="1" x14ac:dyDescent="0.3">
      <c r="E21" s="329" t="s">
        <v>40</v>
      </c>
      <c r="F21" s="179"/>
      <c r="G21" s="179"/>
      <c r="H21" s="179"/>
    </row>
    <row r="22" spans="1:9" ht="19.95" customHeight="1" x14ac:dyDescent="0.3">
      <c r="E22" s="2"/>
      <c r="F22" s="188"/>
      <c r="G22" s="194" t="s">
        <v>689</v>
      </c>
      <c r="H22" s="189">
        <f>SUM(H14:H21)</f>
        <v>2790</v>
      </c>
      <c r="I22" s="158"/>
    </row>
    <row r="23" spans="1:9" ht="19.95" customHeight="1" x14ac:dyDescent="0.3">
      <c r="A23" s="242" t="s">
        <v>645</v>
      </c>
      <c r="B23" s="258">
        <f>+Dados!G4</f>
        <v>9</v>
      </c>
      <c r="C23" s="460" t="s">
        <v>592</v>
      </c>
      <c r="D23" s="460"/>
      <c r="E23" s="460"/>
      <c r="F23" s="460"/>
      <c r="G23" s="460"/>
      <c r="H23" s="461"/>
    </row>
    <row r="24" spans="1:9" ht="19.95" customHeight="1" x14ac:dyDescent="0.3">
      <c r="A24" s="472" t="s">
        <v>26</v>
      </c>
      <c r="B24" s="473"/>
      <c r="C24" s="473"/>
      <c r="D24" s="473"/>
      <c r="E24" s="463" t="s">
        <v>25</v>
      </c>
      <c r="F24" s="474"/>
      <c r="G24" s="474"/>
      <c r="H24" s="475"/>
    </row>
    <row r="25" spans="1:9" ht="19.95" customHeight="1" x14ac:dyDescent="0.3">
      <c r="A25" s="243" t="s">
        <v>47</v>
      </c>
      <c r="B25" s="183">
        <f>+Dados!G79</f>
        <v>5</v>
      </c>
      <c r="C25" s="183">
        <f>+Dados!H79</f>
        <v>250</v>
      </c>
      <c r="D25" s="244">
        <f>+Dados!I79</f>
        <v>25</v>
      </c>
      <c r="E25" s="180" t="s">
        <v>723</v>
      </c>
      <c r="F25" s="312"/>
      <c r="G25" s="312"/>
      <c r="H25" s="246">
        <f>+H4+H14</f>
        <v>270</v>
      </c>
    </row>
    <row r="26" spans="1:9" ht="19.95" customHeight="1" x14ac:dyDescent="0.3">
      <c r="A26" s="243" t="s">
        <v>50</v>
      </c>
      <c r="B26" s="183">
        <f>+Dados!G80</f>
        <v>5</v>
      </c>
      <c r="C26" s="183">
        <f>+Dados!H80</f>
        <v>200</v>
      </c>
      <c r="D26" s="244">
        <f>+Dados!I80</f>
        <v>20</v>
      </c>
      <c r="E26" s="180" t="s">
        <v>591</v>
      </c>
      <c r="F26" s="244"/>
      <c r="G26" s="245"/>
      <c r="H26" s="246">
        <f>+H5+H6+H15+H16</f>
        <v>1800</v>
      </c>
    </row>
    <row r="27" spans="1:9" ht="19.95" customHeight="1" x14ac:dyDescent="0.3">
      <c r="A27" s="243" t="s">
        <v>40</v>
      </c>
      <c r="D27" s="245"/>
      <c r="E27" s="322" t="s">
        <v>34</v>
      </c>
      <c r="F27" s="244"/>
      <c r="G27" s="244"/>
      <c r="H27" s="246">
        <f>+H7+H8+H9+H17+H18+H19</f>
        <v>5625</v>
      </c>
      <c r="I27" s="158"/>
    </row>
    <row r="28" spans="1:9" ht="19.95" customHeight="1" x14ac:dyDescent="0.3">
      <c r="A28" s="243" t="s">
        <v>40</v>
      </c>
      <c r="B28" s="183"/>
      <c r="C28" s="183"/>
      <c r="D28" s="244"/>
      <c r="E28" s="322" t="s">
        <v>590</v>
      </c>
      <c r="F28" s="244"/>
      <c r="G28" s="183"/>
      <c r="H28" s="246">
        <f>+H10+H20</f>
        <v>675</v>
      </c>
      <c r="I28" s="158"/>
    </row>
    <row r="29" spans="1:9" s="311" customFormat="1" ht="19.95" customHeight="1" x14ac:dyDescent="0.3">
      <c r="A29" s="243" t="s">
        <v>40</v>
      </c>
      <c r="B29" s="312"/>
      <c r="C29" s="312"/>
      <c r="D29" s="244"/>
      <c r="E29" s="322" t="s">
        <v>40</v>
      </c>
      <c r="F29" s="244"/>
      <c r="G29" s="312"/>
      <c r="H29" s="246"/>
      <c r="I29" s="158"/>
    </row>
    <row r="30" spans="1:9" ht="19.95" customHeight="1" x14ac:dyDescent="0.3">
      <c r="A30" s="243"/>
      <c r="B30" s="470" t="s">
        <v>644</v>
      </c>
      <c r="C30" s="471"/>
      <c r="D30" s="238">
        <f>SUM(D25:D28)</f>
        <v>45</v>
      </c>
      <c r="E30" s="181"/>
      <c r="F30" s="470" t="s">
        <v>644</v>
      </c>
      <c r="G30" s="471"/>
      <c r="H30" s="247">
        <f>SUM(H25:H28)</f>
        <v>8370</v>
      </c>
      <c r="I30" s="158"/>
    </row>
    <row r="31" spans="1:9" x14ac:dyDescent="0.3">
      <c r="A31" s="248"/>
      <c r="B31" s="468" t="s">
        <v>643</v>
      </c>
      <c r="C31" s="469"/>
      <c r="D31" s="292">
        <f>+D30/B23</f>
        <v>5</v>
      </c>
      <c r="E31" s="249"/>
      <c r="F31" s="466" t="s">
        <v>643</v>
      </c>
      <c r="G31" s="467"/>
      <c r="H31" s="270">
        <f>+H30/B23</f>
        <v>930</v>
      </c>
    </row>
  </sheetData>
  <mergeCells count="10">
    <mergeCell ref="C23:H23"/>
    <mergeCell ref="A1:D1"/>
    <mergeCell ref="E1:H1"/>
    <mergeCell ref="C3:H3"/>
    <mergeCell ref="F31:G31"/>
    <mergeCell ref="B31:C31"/>
    <mergeCell ref="F30:G30"/>
    <mergeCell ref="B30:C30"/>
    <mergeCell ref="A24:D24"/>
    <mergeCell ref="E24:H24"/>
  </mergeCells>
  <hyperlinks>
    <hyperlink ref="A7" location="Indice!A1" display="Índice"/>
  </hyperlinks>
  <printOptions horizontalCentered="1" gridLines="1"/>
  <pageMargins left="7.874015748031496E-2" right="7.874015748031496E-2" top="0.78740157480314965" bottom="7.874015748031496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15</vt:i4>
      </vt:variant>
    </vt:vector>
  </HeadingPairs>
  <TitlesOfParts>
    <vt:vector size="15" baseType="lpstr">
      <vt:lpstr>Indice</vt:lpstr>
      <vt:lpstr>Dados</vt:lpstr>
      <vt:lpstr>Cto_Eq</vt:lpstr>
      <vt:lpstr>EquipPot</vt:lpstr>
      <vt:lpstr>Cto_Trat</vt:lpstr>
      <vt:lpstr>MOEqTr</vt:lpstr>
      <vt:lpstr>Cto_OpCt</vt:lpstr>
      <vt:lpstr>Cal_Cult</vt:lpstr>
      <vt:lpstr>Cto_Outros</vt:lpstr>
      <vt:lpstr>Cto_Fin_RE</vt:lpstr>
      <vt:lpstr>IHERA_Trat</vt:lpstr>
      <vt:lpstr>IHERA_Equip</vt:lpstr>
      <vt:lpstr>Vel_Ec</vt:lpstr>
      <vt:lpstr>Potencias</vt:lpstr>
      <vt:lpstr>Reparacoes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Santos</dc:creator>
  <cp:lastModifiedBy>Fernando Santos</cp:lastModifiedBy>
  <cp:lastPrinted>2021-03-22T14:47:10Z</cp:lastPrinted>
  <dcterms:created xsi:type="dcterms:W3CDTF">2016-02-24T16:19:42Z</dcterms:created>
  <dcterms:modified xsi:type="dcterms:W3CDTF">2024-03-10T16:44:16Z</dcterms:modified>
</cp:coreProperties>
</file>