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DocTrab\IGV\"/>
    </mc:Choice>
  </mc:AlternateContent>
  <bookViews>
    <workbookView xWindow="0" yWindow="0" windowWidth="14376" windowHeight="6936"/>
  </bookViews>
  <sheets>
    <sheet name="Dados" sheetId="3" r:id="rId1"/>
    <sheet name="VPat_VAlto" sheetId="1" r:id="rId2"/>
    <sheet name="Resumo" sheetId="2" r:id="rId3"/>
  </sheets>
  <calcPr calcId="162913"/>
</workbook>
</file>

<file path=xl/calcChain.xml><?xml version="1.0" encoding="utf-8"?>
<calcChain xmlns="http://schemas.openxmlformats.org/spreadsheetml/2006/main">
  <c r="K50" i="1" l="1"/>
  <c r="K47" i="1" s="1"/>
  <c r="G50" i="1"/>
  <c r="G47" i="1" s="1"/>
  <c r="F44" i="2"/>
  <c r="F43" i="2"/>
  <c r="F42" i="2"/>
  <c r="F41" i="2"/>
  <c r="F40" i="2"/>
  <c r="F39" i="2"/>
  <c r="G39" i="2" s="1"/>
  <c r="F38" i="2"/>
  <c r="F37" i="2"/>
  <c r="F47" i="2" s="1"/>
  <c r="F36" i="2"/>
  <c r="F35" i="2"/>
  <c r="F34" i="2"/>
  <c r="F33" i="2"/>
  <c r="F32" i="2"/>
  <c r="F31" i="2"/>
  <c r="F46" i="2" s="1"/>
  <c r="F30" i="2"/>
  <c r="F28" i="2"/>
  <c r="D44" i="2"/>
  <c r="D43" i="2"/>
  <c r="D42" i="2"/>
  <c r="D41" i="2"/>
  <c r="E41" i="2" s="1"/>
  <c r="D40" i="2"/>
  <c r="D39" i="2"/>
  <c r="D38" i="2"/>
  <c r="D37" i="2"/>
  <c r="D47" i="2" s="1"/>
  <c r="D36" i="2"/>
  <c r="D34" i="2"/>
  <c r="D32" i="2"/>
  <c r="D31" i="2"/>
  <c r="D28" i="2"/>
  <c r="C44" i="2"/>
  <c r="C43" i="2"/>
  <c r="E43" i="2" s="1"/>
  <c r="C42" i="2"/>
  <c r="E42" i="2" s="1"/>
  <c r="C41" i="2"/>
  <c r="G41" i="2"/>
  <c r="C40" i="2"/>
  <c r="C39" i="2"/>
  <c r="C38" i="2"/>
  <c r="G38" i="2" s="1"/>
  <c r="C37" i="2"/>
  <c r="C36" i="2"/>
  <c r="E36" i="2" s="1"/>
  <c r="C35" i="2"/>
  <c r="C34" i="2"/>
  <c r="E34" i="2" s="1"/>
  <c r="C33" i="2"/>
  <c r="G33" i="2" s="1"/>
  <c r="C32" i="2"/>
  <c r="G32" i="2"/>
  <c r="C31" i="2"/>
  <c r="C30" i="2"/>
  <c r="C29" i="2"/>
  <c r="C28" i="2"/>
  <c r="E28" i="2" s="1"/>
  <c r="F21" i="2"/>
  <c r="F20" i="2"/>
  <c r="F19" i="2"/>
  <c r="F18" i="2"/>
  <c r="G18" i="2" s="1"/>
  <c r="H18" i="2" s="1"/>
  <c r="F17" i="2"/>
  <c r="G17" i="2" s="1"/>
  <c r="H17" i="2" s="1"/>
  <c r="F16" i="2"/>
  <c r="F15" i="2"/>
  <c r="F14" i="2"/>
  <c r="F13" i="2"/>
  <c r="F12" i="2"/>
  <c r="F11" i="2"/>
  <c r="F10" i="2"/>
  <c r="F9" i="2"/>
  <c r="F7" i="2"/>
  <c r="F6" i="2"/>
  <c r="F5" i="2"/>
  <c r="F23" i="2" s="1"/>
  <c r="F52" i="2" s="1"/>
  <c r="F4" i="2"/>
  <c r="F3" i="2"/>
  <c r="G3" i="2" s="1"/>
  <c r="D21" i="2"/>
  <c r="D20" i="2"/>
  <c r="D19" i="2"/>
  <c r="D18" i="2"/>
  <c r="D17" i="2"/>
  <c r="D16" i="2"/>
  <c r="D15" i="2"/>
  <c r="E15" i="2"/>
  <c r="D14" i="2"/>
  <c r="E14" i="2" s="1"/>
  <c r="H14" i="2" s="1"/>
  <c r="D13" i="2"/>
  <c r="D12" i="2"/>
  <c r="D11" i="2"/>
  <c r="E11" i="2" s="1"/>
  <c r="H11" i="2" s="1"/>
  <c r="D10" i="2"/>
  <c r="D9" i="2"/>
  <c r="D8" i="2"/>
  <c r="D7" i="2"/>
  <c r="D6" i="2"/>
  <c r="D5" i="2"/>
  <c r="D23" i="2" s="1"/>
  <c r="D4" i="2"/>
  <c r="D3" i="2"/>
  <c r="D24" i="2" s="1"/>
  <c r="D53" i="2" s="1"/>
  <c r="C21" i="2"/>
  <c r="E21" i="2" s="1"/>
  <c r="H21" i="2" s="1"/>
  <c r="C20" i="2"/>
  <c r="G20" i="2"/>
  <c r="C19" i="2"/>
  <c r="C18" i="2"/>
  <c r="C17" i="2"/>
  <c r="E17" i="2"/>
  <c r="C16" i="2"/>
  <c r="G16" i="2" s="1"/>
  <c r="C15" i="2"/>
  <c r="G15" i="2" s="1"/>
  <c r="H15" i="2" s="1"/>
  <c r="C14" i="2"/>
  <c r="G14" i="2"/>
  <c r="C13" i="2"/>
  <c r="E13" i="2" s="1"/>
  <c r="C12" i="2"/>
  <c r="E12" i="2" s="1"/>
  <c r="H12" i="2" s="1"/>
  <c r="C11" i="2"/>
  <c r="C10" i="2"/>
  <c r="G10" i="2" s="1"/>
  <c r="H10" i="2" s="1"/>
  <c r="C9" i="2"/>
  <c r="G9" i="2"/>
  <c r="C8" i="2"/>
  <c r="C7" i="2"/>
  <c r="E7" i="2" s="1"/>
  <c r="C6" i="2"/>
  <c r="G6" i="2" s="1"/>
  <c r="G25" i="2" s="1"/>
  <c r="C5" i="2"/>
  <c r="G5" i="2" s="1"/>
  <c r="C4" i="2"/>
  <c r="E4" i="2" s="1"/>
  <c r="H4" i="2" s="1"/>
  <c r="C3" i="2"/>
  <c r="M72" i="1"/>
  <c r="M71" i="1"/>
  <c r="M70" i="1"/>
  <c r="M73" i="1"/>
  <c r="O73" i="1" s="1"/>
  <c r="M67" i="1"/>
  <c r="M66" i="1"/>
  <c r="M65" i="1"/>
  <c r="M76" i="1" s="1"/>
  <c r="M64" i="1"/>
  <c r="M61" i="1"/>
  <c r="M60" i="1"/>
  <c r="M62" i="1"/>
  <c r="M57" i="1"/>
  <c r="M56" i="1"/>
  <c r="M55" i="1"/>
  <c r="M54" i="1"/>
  <c r="M51" i="1"/>
  <c r="M50" i="1"/>
  <c r="M52" i="1" s="1"/>
  <c r="M46" i="1"/>
  <c r="M32" i="1"/>
  <c r="M31" i="1"/>
  <c r="M42" i="1" s="1"/>
  <c r="M30" i="1"/>
  <c r="M29" i="1"/>
  <c r="M33" i="1" s="1"/>
  <c r="M26" i="1"/>
  <c r="M25" i="1"/>
  <c r="M24" i="1"/>
  <c r="M27" i="1" s="1"/>
  <c r="M23" i="1"/>
  <c r="M19" i="1"/>
  <c r="M20" i="1" s="1"/>
  <c r="M18" i="1"/>
  <c r="M17" i="1"/>
  <c r="M14" i="1"/>
  <c r="M13" i="1"/>
  <c r="M12" i="1"/>
  <c r="M15" i="1" s="1"/>
  <c r="M10" i="1"/>
  <c r="M9" i="1"/>
  <c r="M8" i="1"/>
  <c r="M40" i="1" s="1"/>
  <c r="M7" i="1"/>
  <c r="M5" i="1"/>
  <c r="O5" i="1" s="1"/>
  <c r="I72" i="1"/>
  <c r="I71" i="1"/>
  <c r="I70" i="1"/>
  <c r="I67" i="1"/>
  <c r="I66" i="1"/>
  <c r="I65" i="1"/>
  <c r="I76" i="1" s="1"/>
  <c r="I64" i="1"/>
  <c r="I61" i="1"/>
  <c r="I77" i="1" s="1"/>
  <c r="O77" i="1" s="1"/>
  <c r="I60" i="1"/>
  <c r="I57" i="1"/>
  <c r="I56" i="1"/>
  <c r="I55" i="1"/>
  <c r="I54" i="1"/>
  <c r="I51" i="1"/>
  <c r="I46" i="1"/>
  <c r="I35" i="1"/>
  <c r="O35" i="1" s="1"/>
  <c r="I32" i="1"/>
  <c r="I31" i="1"/>
  <c r="I42" i="1" s="1"/>
  <c r="I30" i="1"/>
  <c r="I29" i="1"/>
  <c r="I26" i="1"/>
  <c r="I25" i="1"/>
  <c r="I24" i="1"/>
  <c r="I38" i="1" s="1"/>
  <c r="I23" i="1"/>
  <c r="I27" i="1" s="1"/>
  <c r="O27" i="1" s="1"/>
  <c r="I19" i="1"/>
  <c r="I18" i="1"/>
  <c r="I17" i="1"/>
  <c r="I39" i="1" s="1"/>
  <c r="I14" i="1"/>
  <c r="I13" i="1"/>
  <c r="I15" i="1" s="1"/>
  <c r="I12" i="1"/>
  <c r="I9" i="1"/>
  <c r="I10" i="1" s="1"/>
  <c r="I8" i="1"/>
  <c r="I7" i="1"/>
  <c r="I5" i="1"/>
  <c r="L30" i="1"/>
  <c r="N30" i="1"/>
  <c r="H30" i="1"/>
  <c r="J30" i="1" s="1"/>
  <c r="L72" i="1"/>
  <c r="N72" i="1" s="1"/>
  <c r="L71" i="1"/>
  <c r="N71" i="1" s="1"/>
  <c r="L70" i="1"/>
  <c r="N70" i="1"/>
  <c r="L67" i="1"/>
  <c r="N67" i="1" s="1"/>
  <c r="L66" i="1"/>
  <c r="N66" i="1"/>
  <c r="L65" i="1"/>
  <c r="N65" i="1" s="1"/>
  <c r="L64" i="1"/>
  <c r="N64" i="1" s="1"/>
  <c r="L61" i="1"/>
  <c r="N61" i="1" s="1"/>
  <c r="N77" i="1" s="1"/>
  <c r="L60" i="1"/>
  <c r="N60" i="1"/>
  <c r="N62" i="1" s="1"/>
  <c r="L57" i="1"/>
  <c r="N57" i="1"/>
  <c r="L56" i="1"/>
  <c r="N56" i="1" s="1"/>
  <c r="L55" i="1"/>
  <c r="N55" i="1" s="1"/>
  <c r="N58" i="1" s="1"/>
  <c r="L54" i="1"/>
  <c r="N54" i="1"/>
  <c r="L51" i="1"/>
  <c r="N51" i="1" s="1"/>
  <c r="L50" i="1"/>
  <c r="N50" i="1" s="1"/>
  <c r="L46" i="1"/>
  <c r="N46" i="1" s="1"/>
  <c r="L35" i="1"/>
  <c r="N35" i="1" s="1"/>
  <c r="L32" i="1"/>
  <c r="N32" i="1"/>
  <c r="L31" i="1"/>
  <c r="N31" i="1" s="1"/>
  <c r="N42" i="1" s="1"/>
  <c r="L29" i="1"/>
  <c r="N29" i="1" s="1"/>
  <c r="L26" i="1"/>
  <c r="N26" i="1"/>
  <c r="L25" i="1"/>
  <c r="N25" i="1" s="1"/>
  <c r="L24" i="1"/>
  <c r="N24" i="1" s="1"/>
  <c r="L23" i="1"/>
  <c r="N23" i="1"/>
  <c r="L19" i="1"/>
  <c r="N19" i="1" s="1"/>
  <c r="L18" i="1"/>
  <c r="N18" i="1" s="1"/>
  <c r="L17" i="1"/>
  <c r="N17" i="1"/>
  <c r="L14" i="1"/>
  <c r="N14" i="1" s="1"/>
  <c r="L13" i="1"/>
  <c r="N13" i="1" s="1"/>
  <c r="L12" i="1"/>
  <c r="N12" i="1"/>
  <c r="N15" i="1" s="1"/>
  <c r="L9" i="1"/>
  <c r="N9" i="1" s="1"/>
  <c r="N41" i="1" s="1"/>
  <c r="L8" i="1"/>
  <c r="N8" i="1" s="1"/>
  <c r="N40" i="1" s="1"/>
  <c r="L7" i="1"/>
  <c r="N7" i="1"/>
  <c r="H72" i="1"/>
  <c r="J72" i="1" s="1"/>
  <c r="H71" i="1"/>
  <c r="J71" i="1" s="1"/>
  <c r="H70" i="1"/>
  <c r="J70" i="1"/>
  <c r="J73" i="1" s="1"/>
  <c r="H67" i="1"/>
  <c r="J67" i="1" s="1"/>
  <c r="H66" i="1"/>
  <c r="J66" i="1" s="1"/>
  <c r="H65" i="1"/>
  <c r="J65" i="1"/>
  <c r="H64" i="1"/>
  <c r="J64" i="1" s="1"/>
  <c r="J68" i="1" s="1"/>
  <c r="H61" i="1"/>
  <c r="J61" i="1" s="1"/>
  <c r="J77" i="1" s="1"/>
  <c r="P77" i="1" s="1"/>
  <c r="H60" i="1"/>
  <c r="J60" i="1"/>
  <c r="H57" i="1"/>
  <c r="H56" i="1"/>
  <c r="J56" i="1"/>
  <c r="H55" i="1"/>
  <c r="D33" i="2" s="1"/>
  <c r="E33" i="2" s="1"/>
  <c r="H54" i="1"/>
  <c r="J54" i="1" s="1"/>
  <c r="H51" i="1"/>
  <c r="J51" i="1"/>
  <c r="H46" i="1"/>
  <c r="J46" i="1" s="1"/>
  <c r="H35" i="1"/>
  <c r="J35" i="1"/>
  <c r="P35" i="1" s="1"/>
  <c r="H32" i="1"/>
  <c r="J32" i="1" s="1"/>
  <c r="H31" i="1"/>
  <c r="J31" i="1" s="1"/>
  <c r="H29" i="1"/>
  <c r="J29" i="1"/>
  <c r="H26" i="1"/>
  <c r="J26" i="1" s="1"/>
  <c r="H25" i="1"/>
  <c r="J25" i="1" s="1"/>
  <c r="H24" i="1"/>
  <c r="J24" i="1"/>
  <c r="J38" i="1" s="1"/>
  <c r="H23" i="1"/>
  <c r="J23" i="1" s="1"/>
  <c r="H19" i="1"/>
  <c r="J19" i="1" s="1"/>
  <c r="H18" i="1"/>
  <c r="J18" i="1"/>
  <c r="H17" i="1"/>
  <c r="J17" i="1" s="1"/>
  <c r="J20" i="1" s="1"/>
  <c r="H14" i="1"/>
  <c r="J14" i="1" s="1"/>
  <c r="H13" i="1"/>
  <c r="J13" i="1"/>
  <c r="H12" i="1"/>
  <c r="J12" i="1" s="1"/>
  <c r="J15" i="1" s="1"/>
  <c r="H9" i="1"/>
  <c r="J9" i="1" s="1"/>
  <c r="H8" i="1"/>
  <c r="J8" i="1"/>
  <c r="J40" i="1" s="1"/>
  <c r="H7" i="1"/>
  <c r="J7" i="1" s="1"/>
  <c r="H5" i="1"/>
  <c r="J5" i="1" s="1"/>
  <c r="M77" i="1"/>
  <c r="M68" i="1"/>
  <c r="M35" i="1"/>
  <c r="M41" i="1"/>
  <c r="O41" i="1" s="1"/>
  <c r="G77" i="1"/>
  <c r="H77" i="1"/>
  <c r="G76" i="1"/>
  <c r="H76" i="1" s="1"/>
  <c r="L5" i="1"/>
  <c r="N5" i="1" s="1"/>
  <c r="K77" i="1"/>
  <c r="L77" i="1"/>
  <c r="K76" i="1"/>
  <c r="L76" i="1" s="1"/>
  <c r="I62" i="1"/>
  <c r="O62" i="1" s="1"/>
  <c r="E40" i="2"/>
  <c r="E8" i="2"/>
  <c r="E16" i="2"/>
  <c r="H16" i="2" s="1"/>
  <c r="G42" i="2"/>
  <c r="G28" i="2"/>
  <c r="G40" i="2"/>
  <c r="E31" i="2"/>
  <c r="G4" i="2"/>
  <c r="E9" i="2"/>
  <c r="H9" i="2" s="1"/>
  <c r="E20" i="2"/>
  <c r="E18" i="2"/>
  <c r="E10" i="2"/>
  <c r="G12" i="2"/>
  <c r="E38" i="2"/>
  <c r="G19" i="2"/>
  <c r="H19" i="2" s="1"/>
  <c r="E39" i="2"/>
  <c r="G34" i="2"/>
  <c r="H20" i="2"/>
  <c r="F25" i="2"/>
  <c r="M58" i="1"/>
  <c r="G35" i="2"/>
  <c r="J57" i="1"/>
  <c r="D35" i="2"/>
  <c r="D46" i="2" s="1"/>
  <c r="I41" i="1"/>
  <c r="I58" i="1"/>
  <c r="O58" i="1" s="1"/>
  <c r="I73" i="1"/>
  <c r="G21" i="2"/>
  <c r="D25" i="2"/>
  <c r="E6" i="2"/>
  <c r="G37" i="2"/>
  <c r="G47" i="2"/>
  <c r="E37" i="2"/>
  <c r="E47" i="2" s="1"/>
  <c r="H47" i="2" s="1"/>
  <c r="E44" i="2"/>
  <c r="G44" i="2"/>
  <c r="G11" i="2"/>
  <c r="G30" i="2"/>
  <c r="E19" i="2"/>
  <c r="E32" i="2"/>
  <c r="F8" i="2"/>
  <c r="G8" i="2" s="1"/>
  <c r="H8" i="2" s="1"/>
  <c r="E35" i="2"/>
  <c r="P20" i="1" l="1"/>
  <c r="J10" i="1"/>
  <c r="J27" i="1"/>
  <c r="P27" i="1" s="1"/>
  <c r="P68" i="1"/>
  <c r="P40" i="1"/>
  <c r="P38" i="1"/>
  <c r="J43" i="1"/>
  <c r="N33" i="1"/>
  <c r="N73" i="1"/>
  <c r="N74" i="1" s="1"/>
  <c r="N76" i="1"/>
  <c r="O10" i="1"/>
  <c r="O15" i="1"/>
  <c r="N78" i="1"/>
  <c r="J41" i="1"/>
  <c r="P41" i="1" s="1"/>
  <c r="P15" i="1"/>
  <c r="H13" i="2"/>
  <c r="N38" i="1"/>
  <c r="N27" i="1"/>
  <c r="J76" i="1"/>
  <c r="N20" i="1"/>
  <c r="O42" i="1"/>
  <c r="J39" i="1"/>
  <c r="P39" i="1" s="1"/>
  <c r="P5" i="1"/>
  <c r="J33" i="1"/>
  <c r="P33" i="1" s="1"/>
  <c r="H6" i="2"/>
  <c r="N68" i="1"/>
  <c r="D52" i="2"/>
  <c r="E46" i="2"/>
  <c r="I47" i="1"/>
  <c r="I48" i="1" s="1"/>
  <c r="H47" i="1"/>
  <c r="J47" i="1" s="1"/>
  <c r="J48" i="1" s="1"/>
  <c r="P48" i="1" s="1"/>
  <c r="D29" i="2"/>
  <c r="D45" i="2" s="1"/>
  <c r="O76" i="1"/>
  <c r="J58" i="1"/>
  <c r="P58" i="1" s="1"/>
  <c r="N39" i="1"/>
  <c r="N48" i="1"/>
  <c r="J42" i="1"/>
  <c r="P42" i="1" s="1"/>
  <c r="J62" i="1"/>
  <c r="P62" i="1" s="1"/>
  <c r="N10" i="1"/>
  <c r="N36" i="1" s="1"/>
  <c r="N52" i="1"/>
  <c r="G23" i="2"/>
  <c r="L47" i="1"/>
  <c r="N47" i="1" s="1"/>
  <c r="M47" i="1"/>
  <c r="F29" i="2"/>
  <c r="F22" i="2"/>
  <c r="F24" i="2"/>
  <c r="F53" i="2" s="1"/>
  <c r="G31" i="2"/>
  <c r="G43" i="2"/>
  <c r="J55" i="1"/>
  <c r="J78" i="1" s="1"/>
  <c r="P78" i="1" s="1"/>
  <c r="I33" i="1"/>
  <c r="O33" i="1" s="1"/>
  <c r="G13" i="2"/>
  <c r="M38" i="1"/>
  <c r="M43" i="1" s="1"/>
  <c r="N43" i="1" s="1"/>
  <c r="I68" i="1"/>
  <c r="E25" i="2"/>
  <c r="G36" i="2"/>
  <c r="M36" i="1"/>
  <c r="I20" i="1"/>
  <c r="O20" i="1" s="1"/>
  <c r="G7" i="2"/>
  <c r="G24" i="2" s="1"/>
  <c r="G53" i="2" s="1"/>
  <c r="E3" i="2"/>
  <c r="D22" i="2"/>
  <c r="I50" i="1"/>
  <c r="D30" i="2"/>
  <c r="E30" i="2" s="1"/>
  <c r="M39" i="1"/>
  <c r="O39" i="1" s="1"/>
  <c r="I40" i="1"/>
  <c r="O40" i="1" s="1"/>
  <c r="H50" i="1"/>
  <c r="J50" i="1" s="1"/>
  <c r="J52" i="1" s="1"/>
  <c r="E5" i="2"/>
  <c r="P43" i="1" l="1"/>
  <c r="O48" i="1"/>
  <c r="O38" i="1"/>
  <c r="H7" i="2"/>
  <c r="I52" i="1"/>
  <c r="O52" i="1" s="1"/>
  <c r="I78" i="1"/>
  <c r="D51" i="2"/>
  <c r="H46" i="2"/>
  <c r="F51" i="2"/>
  <c r="P76" i="1"/>
  <c r="J79" i="1"/>
  <c r="P79" i="1" s="1"/>
  <c r="M78" i="1"/>
  <c r="M79" i="1" s="1"/>
  <c r="M48" i="1"/>
  <c r="M74" i="1" s="1"/>
  <c r="M81" i="1" s="1"/>
  <c r="M82" i="1" s="1"/>
  <c r="P10" i="1"/>
  <c r="J36" i="1"/>
  <c r="P36" i="1" s="1"/>
  <c r="G46" i="2"/>
  <c r="G52" i="2" s="1"/>
  <c r="I43" i="1"/>
  <c r="O43" i="1" s="1"/>
  <c r="G22" i="2"/>
  <c r="I36" i="1"/>
  <c r="O36" i="1" s="1"/>
  <c r="F45" i="2"/>
  <c r="F48" i="2"/>
  <c r="F54" i="2" s="1"/>
  <c r="J74" i="1"/>
  <c r="H5" i="2"/>
  <c r="E23" i="2"/>
  <c r="H25" i="2"/>
  <c r="N81" i="1"/>
  <c r="N82" i="1" s="1"/>
  <c r="D48" i="2"/>
  <c r="D54" i="2" s="1"/>
  <c r="E29" i="2"/>
  <c r="E22" i="2"/>
  <c r="E24" i="2"/>
  <c r="H3" i="2"/>
  <c r="P73" i="1"/>
  <c r="P52" i="1"/>
  <c r="I74" i="1"/>
  <c r="O68" i="1"/>
  <c r="G29" i="2"/>
  <c r="N79" i="1"/>
  <c r="E53" i="2" l="1"/>
  <c r="H24" i="2"/>
  <c r="I81" i="1"/>
  <c r="O74" i="1"/>
  <c r="P74" i="1"/>
  <c r="J81" i="1"/>
  <c r="O78" i="1"/>
  <c r="I79" i="1"/>
  <c r="O79" i="1" s="1"/>
  <c r="G51" i="2"/>
  <c r="G56" i="2" s="1"/>
  <c r="E51" i="2"/>
  <c r="E56" i="2" s="1"/>
  <c r="H56" i="2" s="1"/>
  <c r="H22" i="2"/>
  <c r="E48" i="2"/>
  <c r="E45" i="2"/>
  <c r="G45" i="2"/>
  <c r="G48" i="2"/>
  <c r="G54" i="2" s="1"/>
  <c r="H23" i="2"/>
  <c r="E52" i="2"/>
  <c r="H48" i="2" l="1"/>
  <c r="E54" i="2"/>
  <c r="J82" i="1"/>
  <c r="P82" i="1" s="1"/>
  <c r="P81" i="1"/>
  <c r="O81" i="1"/>
  <c r="I82" i="1"/>
  <c r="O82" i="1" s="1"/>
  <c r="H45" i="2"/>
</calcChain>
</file>

<file path=xl/sharedStrings.xml><?xml version="1.0" encoding="utf-8"?>
<sst xmlns="http://schemas.openxmlformats.org/spreadsheetml/2006/main" count="314" uniqueCount="214">
  <si>
    <t>Área (ha) &gt;</t>
  </si>
  <si>
    <t>Sistematização do solo:</t>
  </si>
  <si>
    <t>Abertura de patamares</t>
  </si>
  <si>
    <t xml:space="preserve">      Tt2</t>
  </si>
  <si>
    <t>Surriba (VA 40%)</t>
  </si>
  <si>
    <t xml:space="preserve">      Tt3</t>
  </si>
  <si>
    <t>Abertura de estradas</t>
  </si>
  <si>
    <t>VP- 876 m2 de estr.</t>
  </si>
  <si>
    <t>VA- 929 m2 de estr.</t>
  </si>
  <si>
    <t xml:space="preserve">      Tt4</t>
  </si>
  <si>
    <t>Espedrega:</t>
  </si>
  <si>
    <t xml:space="preserve">   na surriba</t>
  </si>
  <si>
    <t xml:space="preserve">   no transporte</t>
  </si>
  <si>
    <t>Tt5</t>
  </si>
  <si>
    <t>Fertilização de fundo</t>
  </si>
  <si>
    <t>Tt (6)</t>
  </si>
  <si>
    <t>Arrasamento</t>
  </si>
  <si>
    <t>Tt(1..7)</t>
  </si>
  <si>
    <t>Tt / MO</t>
  </si>
  <si>
    <t>Tt / Tr</t>
  </si>
  <si>
    <t>Tt / compr.</t>
  </si>
  <si>
    <t>Tt / Explos.</t>
  </si>
  <si>
    <t>Tt / Fertil.</t>
  </si>
  <si>
    <t>Plantação:</t>
  </si>
  <si>
    <t>Alinhamento+Piquetagem</t>
  </si>
  <si>
    <t>Tt(8)</t>
  </si>
  <si>
    <t>Tt(9)</t>
  </si>
  <si>
    <t>Embardamento</t>
  </si>
  <si>
    <t>Tt(10)</t>
  </si>
  <si>
    <t>Rega do bacelo</t>
  </si>
  <si>
    <t>Tt(11)</t>
  </si>
  <si>
    <t>Enxertia</t>
  </si>
  <si>
    <t>Tt(12)</t>
  </si>
  <si>
    <t>Enxertia das replantações</t>
  </si>
  <si>
    <t>Tt(13)</t>
  </si>
  <si>
    <t>Tt(8..13)</t>
  </si>
  <si>
    <t>Tt / mat.</t>
  </si>
  <si>
    <t>Sist. + Plant.</t>
  </si>
  <si>
    <t>Tt(1..13)</t>
  </si>
  <si>
    <t>Sist. + Plant. / Cepa</t>
  </si>
  <si>
    <t>30 - 35</t>
  </si>
  <si>
    <t>Qdes</t>
  </si>
  <si>
    <t xml:space="preserve">  Vinha
(patamares)</t>
  </si>
  <si>
    <t xml:space="preserve">    Vinha
 ao alto</t>
  </si>
  <si>
    <t>12 - 16</t>
  </si>
  <si>
    <t>VP - VA</t>
  </si>
  <si>
    <t>30- 40</t>
  </si>
  <si>
    <t>(€/ha)</t>
  </si>
  <si>
    <t>Plantação (abertura de covas + preparação e plantação do bacelo)</t>
  </si>
  <si>
    <t>11 - 13</t>
  </si>
  <si>
    <t>5 - 7</t>
  </si>
  <si>
    <t>20 - 23</t>
  </si>
  <si>
    <t>1 -3</t>
  </si>
  <si>
    <t>6 - 8</t>
  </si>
  <si>
    <t>1 - 3</t>
  </si>
  <si>
    <t>0.01 - 0.05</t>
  </si>
  <si>
    <t>0.02 - 0.06</t>
  </si>
  <si>
    <t>0.5 - 1.0</t>
  </si>
  <si>
    <t>9 - 12</t>
  </si>
  <si>
    <t>2 - 5</t>
  </si>
  <si>
    <t>0.05 - 1.0</t>
  </si>
  <si>
    <t>0.02 - 0.05</t>
  </si>
  <si>
    <t xml:space="preserve">   Tracção / h</t>
  </si>
  <si>
    <t xml:space="preserve">   Compressor / h</t>
  </si>
  <si>
    <t xml:space="preserve">   Explosivos / kg</t>
  </si>
  <si>
    <t>MO / h</t>
  </si>
  <si>
    <t>Correctivos / 50 kg</t>
  </si>
  <si>
    <t>Fertilizantes / 50 kg</t>
  </si>
  <si>
    <t>Canas / un.</t>
  </si>
  <si>
    <t>Nº bacelos / un.</t>
  </si>
  <si>
    <t>Arame kg</t>
  </si>
  <si>
    <t>Grampos / un.</t>
  </si>
  <si>
    <t>Postes / un.</t>
  </si>
  <si>
    <t>Tracção / h</t>
  </si>
  <si>
    <t>Enxertador / h</t>
  </si>
  <si>
    <t>Garfos / un.</t>
  </si>
  <si>
    <t>Tutores / un.</t>
  </si>
  <si>
    <t xml:space="preserve">   "</t>
  </si>
  <si>
    <t>160 - 180</t>
  </si>
  <si>
    <t>45 - 55</t>
  </si>
  <si>
    <t>140 - 160</t>
  </si>
  <si>
    <t>7 - 9</t>
  </si>
  <si>
    <t>0.1 - 0.5</t>
  </si>
  <si>
    <t>0.5 - 1.2</t>
  </si>
  <si>
    <t>-</t>
  </si>
  <si>
    <t>350 - 400</t>
  </si>
  <si>
    <t>25 - 35</t>
  </si>
  <si>
    <t>300 - 350</t>
  </si>
  <si>
    <t>60 - 70</t>
  </si>
  <si>
    <t>30 - 40</t>
  </si>
  <si>
    <t>150 - 200</t>
  </si>
  <si>
    <t>370 - 420</t>
  </si>
  <si>
    <t>3000 - 3500</t>
  </si>
  <si>
    <t>700 - 800</t>
  </si>
  <si>
    <t>100 - 120</t>
  </si>
  <si>
    <t>20 - 30</t>
  </si>
  <si>
    <t>50 - 70</t>
  </si>
  <si>
    <t>110 - 120</t>
  </si>
  <si>
    <t>2500 - 3000</t>
  </si>
  <si>
    <t>10 - 20</t>
  </si>
  <si>
    <t>15 - 25</t>
  </si>
  <si>
    <t>400 - 450</t>
  </si>
  <si>
    <t>210 - 230</t>
  </si>
  <si>
    <t>100 - 110</t>
  </si>
  <si>
    <t>7 - 10</t>
  </si>
  <si>
    <t>0.15 - 0.30</t>
  </si>
  <si>
    <t>0.5 - 1.5</t>
  </si>
  <si>
    <t>14 - 20</t>
  </si>
  <si>
    <t>80 - 100</t>
  </si>
  <si>
    <t>200 - 300</t>
  </si>
  <si>
    <t>200 - 250</t>
  </si>
  <si>
    <t>75 - 100</t>
  </si>
  <si>
    <t>40 - 60</t>
  </si>
  <si>
    <t>10 - 15</t>
  </si>
  <si>
    <t>300 - 320</t>
  </si>
  <si>
    <t>4000 - 4500</t>
  </si>
  <si>
    <t>650 - 750</t>
  </si>
  <si>
    <t>2800 - 3000</t>
  </si>
  <si>
    <t>700 - 750</t>
  </si>
  <si>
    <t>250 - 300</t>
  </si>
  <si>
    <t>3900 - 4000</t>
  </si>
  <si>
    <t>5 - 15</t>
  </si>
  <si>
    <t>Operação 
cultural</t>
  </si>
  <si>
    <t>Fatores
Unidades</t>
  </si>
  <si>
    <t>Valores atribuídos (área/ha)</t>
  </si>
  <si>
    <t>0.3 - 0.5</t>
  </si>
  <si>
    <t>0.5 - 0.8</t>
  </si>
  <si>
    <t>1 - 4</t>
  </si>
  <si>
    <t>(€/unid)</t>
  </si>
  <si>
    <t>Valores de referência (1 ha)</t>
  </si>
  <si>
    <t>Preço de referência</t>
  </si>
  <si>
    <t xml:space="preserve"> (€/unid)</t>
  </si>
  <si>
    <t>Preço
atribuído</t>
  </si>
  <si>
    <t>80 - 90</t>
  </si>
  <si>
    <t>MO(Co) / h</t>
  </si>
  <si>
    <t>MO(Fe) / h</t>
  </si>
  <si>
    <t>130 - 150</t>
  </si>
  <si>
    <t>70 - 90</t>
  </si>
  <si>
    <t>Qdes/1ha</t>
  </si>
  <si>
    <t>Cto (€/1ha)</t>
  </si>
  <si>
    <t>Qdes/ArTt(ha)</t>
  </si>
  <si>
    <t>Cto (€/ArTt)</t>
  </si>
  <si>
    <t>(€/ArTt)</t>
  </si>
  <si>
    <t>Desmatagem+Regularização (1)</t>
  </si>
  <si>
    <t xml:space="preserve">  Espedrega/transporte</t>
  </si>
  <si>
    <t xml:space="preserve">  Espedrega/surriba</t>
  </si>
  <si>
    <t xml:space="preserve"> €/unid</t>
  </si>
  <si>
    <t>D+R-Tracção(Tt1) / h</t>
  </si>
  <si>
    <t xml:space="preserve"> Ap- Tracção / h</t>
  </si>
  <si>
    <t>Ap-Compressor / h</t>
  </si>
  <si>
    <t xml:space="preserve"> Ap-Explosivos / kg</t>
  </si>
  <si>
    <t xml:space="preserve">   Sr-Tracção / h</t>
  </si>
  <si>
    <t xml:space="preserve">  Sr-Compressor / h</t>
  </si>
  <si>
    <t xml:space="preserve">   Sr-Explosivos / kg</t>
  </si>
  <si>
    <t xml:space="preserve"> Ae-Tracção / h</t>
  </si>
  <si>
    <t>Ae-Compressor / h</t>
  </si>
  <si>
    <t xml:space="preserve">   Ae-Explosivos / kg</t>
  </si>
  <si>
    <t>ES-Tracção / h</t>
  </si>
  <si>
    <t>ES-MO / h</t>
  </si>
  <si>
    <t>ET-Tracção / h</t>
  </si>
  <si>
    <t>ET-MO / h</t>
  </si>
  <si>
    <t>Ff-MO(Co) / h</t>
  </si>
  <si>
    <t>Ff-MO(Fe) / h</t>
  </si>
  <si>
    <t>Ff-Correctivos / 50 kg</t>
  </si>
  <si>
    <t>Ff-Fertilizantes / 50 kg</t>
  </si>
  <si>
    <t>Vinha em patamares</t>
  </si>
  <si>
    <t>Vinha ao alto</t>
  </si>
  <si>
    <t>Abertura de estradas
VP- 876 m2 de estr.
VA- 929 m2 de estr.</t>
  </si>
  <si>
    <t>AP-MO / h</t>
  </si>
  <si>
    <t>AP-Canas / un.</t>
  </si>
  <si>
    <t>VA/Cto (€/1ha)</t>
  </si>
  <si>
    <t>VP/Cto (€/1ha)</t>
  </si>
  <si>
    <t>(€/1ha)</t>
  </si>
  <si>
    <t>Ar-Tracção / h</t>
  </si>
  <si>
    <t>Total /mo</t>
  </si>
  <si>
    <t>Total / traçao</t>
  </si>
  <si>
    <t>Total/material</t>
  </si>
  <si>
    <t>Sistematização + Plantação / cepa</t>
  </si>
  <si>
    <t>Resultados (Sist+Plant):</t>
  </si>
  <si>
    <t>Sistematização -Total/ha</t>
  </si>
  <si>
    <t>Sistematização - Tt / MO</t>
  </si>
  <si>
    <t>Sistematização - Tt / Tr</t>
  </si>
  <si>
    <t>Sistematização - Tt / mat.</t>
  </si>
  <si>
    <t>Plantação-Total/ha</t>
  </si>
  <si>
    <t>Plantação - Tt / MO</t>
  </si>
  <si>
    <t>Plantação - Tt / Tr</t>
  </si>
  <si>
    <t>Plantação - Tt / mat.</t>
  </si>
  <si>
    <t>Pl-Nº bacelos / un.</t>
  </si>
  <si>
    <t>Pl-+MO / h</t>
  </si>
  <si>
    <t>Eb-Arame kg</t>
  </si>
  <si>
    <t>Eb-Grampos / un.</t>
  </si>
  <si>
    <t>Eb-Postes / un.</t>
  </si>
  <si>
    <t>Eb-MO / h</t>
  </si>
  <si>
    <t>Rg-MO / h</t>
  </si>
  <si>
    <t>Rg-Tracção / h</t>
  </si>
  <si>
    <t>Ex-Enxertador / h</t>
  </si>
  <si>
    <t>Ex-MO / h</t>
  </si>
  <si>
    <t>Ex-Garfos / un.</t>
  </si>
  <si>
    <t>Ex-Tutores / un.</t>
  </si>
  <si>
    <t>ER-Enxertador / h</t>
  </si>
  <si>
    <t>ER-MO / h</t>
  </si>
  <si>
    <t>ER-Garfos / un.</t>
  </si>
  <si>
    <t>Total /Sist + Plant)</t>
  </si>
  <si>
    <t>Inc.da encosta (%)</t>
  </si>
  <si>
    <t>Entrelinha (m)</t>
  </si>
  <si>
    <t>Dist. na linha (m)</t>
  </si>
  <si>
    <t>Consultar:</t>
  </si>
  <si>
    <t>https://fsantos.utad.pt/pub-fas/xls/16TABPATNB0205.XLS</t>
  </si>
  <si>
    <t>https://fsantos.utad.pt/pub-fas/xls/16INCL_DENS0205.XLS</t>
  </si>
  <si>
    <t>Nº linhas_patamar</t>
  </si>
  <si>
    <t>Larg. patamar (m)</t>
  </si>
  <si>
    <t>Inc.do talude (%)</t>
  </si>
  <si>
    <t>Nº de plantas/ha</t>
  </si>
  <si>
    <t>Desmatagem+Regularização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</si>
</sst>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2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" fontId="4" fillId="0" borderId="0" xfId="0" applyNumberFormat="1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2" fontId="8" fillId="0" borderId="0" xfId="0" applyNumberFormat="1" applyFont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1" applyFont="1" applyAlignment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/>
    <xf numFmtId="0" fontId="0" fillId="0" borderId="0" xfId="0" applyAlignment="1"/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Resumo!$E$2</c:f>
              <c:strCache>
                <c:ptCount val="1"/>
                <c:pt idx="0">
                  <c:v>VP/Cto (€/1ha)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Resumo!$B$3:$B$21</c:f>
              <c:strCache>
                <c:ptCount val="19"/>
                <c:pt idx="0">
                  <c:v>D+R-Tracção(Tt1) / h</c:v>
                </c:pt>
                <c:pt idx="1">
                  <c:v> Ap- Tracção / h</c:v>
                </c:pt>
                <c:pt idx="2">
                  <c:v>Ap-Compressor / h</c:v>
                </c:pt>
                <c:pt idx="3">
                  <c:v> Ap-Explosivos / kg</c:v>
                </c:pt>
                <c:pt idx="4">
                  <c:v>   Sr-Tracção / h</c:v>
                </c:pt>
                <c:pt idx="5">
                  <c:v>  Sr-Compressor / h</c:v>
                </c:pt>
                <c:pt idx="6">
                  <c:v>   Sr-Explosivos / kg</c:v>
                </c:pt>
                <c:pt idx="7">
                  <c:v> Ae-Tracção / h</c:v>
                </c:pt>
                <c:pt idx="8">
                  <c:v>Ae-Compressor / h</c:v>
                </c:pt>
                <c:pt idx="9">
                  <c:v>   Ae-Explosivos / kg</c:v>
                </c:pt>
                <c:pt idx="10">
                  <c:v>ES-Tracção / h</c:v>
                </c:pt>
                <c:pt idx="11">
                  <c:v>ES-MO / h</c:v>
                </c:pt>
                <c:pt idx="12">
                  <c:v>ET-Tracção / h</c:v>
                </c:pt>
                <c:pt idx="13">
                  <c:v>ET-MO / h</c:v>
                </c:pt>
                <c:pt idx="14">
                  <c:v>Ff-MO(Co) / h</c:v>
                </c:pt>
                <c:pt idx="15">
                  <c:v>Ff-MO(Fe) / h</c:v>
                </c:pt>
                <c:pt idx="16">
                  <c:v>Ff-Correctivos / 50 kg</c:v>
                </c:pt>
                <c:pt idx="17">
                  <c:v>Ff-Fertilizantes / 50 kg</c:v>
                </c:pt>
                <c:pt idx="18">
                  <c:v>Ar-Tracção / h</c:v>
                </c:pt>
              </c:strCache>
            </c:strRef>
          </c:cat>
          <c:val>
            <c:numRef>
              <c:f>Resumo!$E$3:$E$21</c:f>
              <c:numCache>
                <c:formatCode>0.00</c:formatCode>
                <c:ptCount val="19"/>
                <c:pt idx="0">
                  <c:v>467.87709497206703</c:v>
                </c:pt>
                <c:pt idx="1">
                  <c:v>1169.6927374301677</c:v>
                </c:pt>
                <c:pt idx="2">
                  <c:v>142.45810055865923</c:v>
                </c:pt>
                <c:pt idx="3">
                  <c:v>175.23044692737432</c:v>
                </c:pt>
                <c:pt idx="4">
                  <c:v>5574.4213886671987</c:v>
                </c:pt>
                <c:pt idx="5">
                  <c:v>599.76057462090978</c:v>
                </c:pt>
                <c:pt idx="6">
                  <c:v>819.55606544293687</c:v>
                </c:pt>
                <c:pt idx="7">
                  <c:v>283.39984038308063</c:v>
                </c:pt>
                <c:pt idx="8">
                  <c:v>2.3942537909018355</c:v>
                </c:pt>
                <c:pt idx="9">
                  <c:v>4.6800678371907418</c:v>
                </c:pt>
                <c:pt idx="10">
                  <c:v>0</c:v>
                </c:pt>
                <c:pt idx="11">
                  <c:v>381.62709497206708</c:v>
                </c:pt>
                <c:pt idx="12">
                  <c:v>302.8731045490822</c:v>
                </c:pt>
                <c:pt idx="13">
                  <c:v>347.73743016759772</c:v>
                </c:pt>
                <c:pt idx="14">
                  <c:v>90.512769353551477</c:v>
                </c:pt>
                <c:pt idx="15">
                  <c:v>51.45</c:v>
                </c:pt>
                <c:pt idx="16">
                  <c:v>408.51955307262574</c:v>
                </c:pt>
                <c:pt idx="17">
                  <c:v>388.36791699920195</c:v>
                </c:pt>
                <c:pt idx="18">
                  <c:v>146.70599999999999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6C9-ADDA-8303B27CC6DB}"/>
            </c:ext>
          </c:extLst>
        </c:ser>
        <c:ser>
          <c:idx val="0"/>
          <c:order val="1"/>
          <c:tx>
            <c:strRef>
              <c:f>Resumo!$G$2</c:f>
              <c:strCache>
                <c:ptCount val="1"/>
                <c:pt idx="0">
                  <c:v>VA/Cto (€/1ha)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Resumo!$B$3:$B$21</c:f>
              <c:strCache>
                <c:ptCount val="19"/>
                <c:pt idx="0">
                  <c:v>D+R-Tracção(Tt1) / h</c:v>
                </c:pt>
                <c:pt idx="1">
                  <c:v> Ap- Tracção / h</c:v>
                </c:pt>
                <c:pt idx="2">
                  <c:v>Ap-Compressor / h</c:v>
                </c:pt>
                <c:pt idx="3">
                  <c:v> Ap-Explosivos / kg</c:v>
                </c:pt>
                <c:pt idx="4">
                  <c:v>   Sr-Tracção / h</c:v>
                </c:pt>
                <c:pt idx="5">
                  <c:v>  Sr-Compressor / h</c:v>
                </c:pt>
                <c:pt idx="6">
                  <c:v>   Sr-Explosivos / kg</c:v>
                </c:pt>
                <c:pt idx="7">
                  <c:v> Ae-Tracção / h</c:v>
                </c:pt>
                <c:pt idx="8">
                  <c:v>Ae-Compressor / h</c:v>
                </c:pt>
                <c:pt idx="9">
                  <c:v>   Ae-Explosivos / kg</c:v>
                </c:pt>
                <c:pt idx="10">
                  <c:v>ES-Tracção / h</c:v>
                </c:pt>
                <c:pt idx="11">
                  <c:v>ES-MO / h</c:v>
                </c:pt>
                <c:pt idx="12">
                  <c:v>ET-Tracção / h</c:v>
                </c:pt>
                <c:pt idx="13">
                  <c:v>ET-MO / h</c:v>
                </c:pt>
                <c:pt idx="14">
                  <c:v>Ff-MO(Co) / h</c:v>
                </c:pt>
                <c:pt idx="15">
                  <c:v>Ff-MO(Fe) / h</c:v>
                </c:pt>
                <c:pt idx="16">
                  <c:v>Ff-Correctivos / 50 kg</c:v>
                </c:pt>
                <c:pt idx="17">
                  <c:v>Ff-Fertilizantes / 50 kg</c:v>
                </c:pt>
                <c:pt idx="18">
                  <c:v>Ar-Tracção / h</c:v>
                </c:pt>
              </c:strCache>
            </c:strRef>
          </c:cat>
          <c:val>
            <c:numRef>
              <c:f>Resumo!$G$3:$G$21</c:f>
              <c:numCache>
                <c:formatCode>0.00</c:formatCode>
                <c:ptCount val="19"/>
                <c:pt idx="0">
                  <c:v>467.87709497206703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7315.5925778132487</c:v>
                </c:pt>
                <c:pt idx="5">
                  <c:v>1291.6999201915403</c:v>
                </c:pt>
                <c:pt idx="6">
                  <c:v>896.28741021548274</c:v>
                </c:pt>
                <c:pt idx="7">
                  <c:v>300.44393455706307</c:v>
                </c:pt>
                <c:pt idx="8">
                  <c:v>2.5139664804469271</c:v>
                </c:pt>
                <c:pt idx="9">
                  <c:v>5.0065841979249806</c:v>
                </c:pt>
                <c:pt idx="10">
                  <c:v>327.4441340782123</c:v>
                </c:pt>
                <c:pt idx="11">
                  <c:v>89.176127294493227</c:v>
                </c:pt>
                <c:pt idx="12">
                  <c:v>253.59138068635278</c:v>
                </c:pt>
                <c:pt idx="13">
                  <c:v>258.3087090981644</c:v>
                </c:pt>
                <c:pt idx="14">
                  <c:v>147.3463687150838</c:v>
                </c:pt>
                <c:pt idx="15">
                  <c:v>85.05</c:v>
                </c:pt>
                <c:pt idx="16">
                  <c:v>531.72386272944937</c:v>
                </c:pt>
                <c:pt idx="17">
                  <c:v>559.70670391061458</c:v>
                </c:pt>
                <c:pt idx="18">
                  <c:v>126.746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6C9-ADDA-8303B27CC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677232"/>
        <c:axId val="1"/>
      </c:barChart>
      <c:catAx>
        <c:axId val="32767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767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08921038026573"/>
          <c:y val="0.9243030136054935"/>
          <c:w val="0.24413151136377445"/>
          <c:h val="5.577690599343495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Plantação</a:t>
            </a:r>
          </a:p>
        </c:rich>
      </c:tx>
      <c:layout>
        <c:manualLayout>
          <c:xMode val="edge"/>
          <c:yMode val="edge"/>
          <c:x val="0.44875293130731536"/>
          <c:y val="0.19753065113436163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Resumo!$E$27</c:f>
              <c:strCache>
                <c:ptCount val="1"/>
                <c:pt idx="0">
                  <c:v>VP/Cto (€/1ha)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Resumo!$B$28:$B$44</c:f>
              <c:strCache>
                <c:ptCount val="17"/>
                <c:pt idx="0">
                  <c:v>AP-MO / h</c:v>
                </c:pt>
                <c:pt idx="1">
                  <c:v>AP-Canas / un.</c:v>
                </c:pt>
                <c:pt idx="2">
                  <c:v>Pl-Nº bacelos / un.</c:v>
                </c:pt>
                <c:pt idx="3">
                  <c:v>Pl-+MO / h</c:v>
                </c:pt>
                <c:pt idx="4">
                  <c:v>Eb-Arame kg</c:v>
                </c:pt>
                <c:pt idx="5">
                  <c:v>Eb-Grampos / un.</c:v>
                </c:pt>
                <c:pt idx="6">
                  <c:v>Eb-Postes / un.</c:v>
                </c:pt>
                <c:pt idx="7">
                  <c:v>Eb-MO / h</c:v>
                </c:pt>
                <c:pt idx="8">
                  <c:v>Rg-MO / h</c:v>
                </c:pt>
                <c:pt idx="9">
                  <c:v>Rg-Tracção / h</c:v>
                </c:pt>
                <c:pt idx="10">
                  <c:v>Ex-Enxertador / h</c:v>
                </c:pt>
                <c:pt idx="11">
                  <c:v>Ex-MO / h</c:v>
                </c:pt>
                <c:pt idx="12">
                  <c:v>Ex-Garfos / un.</c:v>
                </c:pt>
                <c:pt idx="13">
                  <c:v>Ex-Tutores / un.</c:v>
                </c:pt>
                <c:pt idx="14">
                  <c:v>ER-Enxertador / h</c:v>
                </c:pt>
                <c:pt idx="15">
                  <c:v>ER-MO / h</c:v>
                </c:pt>
                <c:pt idx="16">
                  <c:v>ER-Garfos / un.</c:v>
                </c:pt>
              </c:strCache>
            </c:strRef>
          </c:cat>
          <c:val>
            <c:numRef>
              <c:f>Resumo!$E$28:$E$44</c:f>
              <c:numCache>
                <c:formatCode>0.00</c:formatCode>
                <c:ptCount val="17"/>
                <c:pt idx="0">
                  <c:v>272.14684756584199</c:v>
                </c:pt>
                <c:pt idx="1">
                  <c:v>100.75818036711892</c:v>
                </c:pt>
                <c:pt idx="2">
                  <c:v>1511.3727055067836</c:v>
                </c:pt>
                <c:pt idx="3">
                  <c:v>188.39285714285714</c:v>
                </c:pt>
                <c:pt idx="4">
                  <c:v>256.13527533918597</c:v>
                </c:pt>
                <c:pt idx="5">
                  <c:v>113.54000399042299</c:v>
                </c:pt>
                <c:pt idx="6">
                  <c:v>511.09836392657621</c:v>
                </c:pt>
                <c:pt idx="7">
                  <c:v>494.81245011971276</c:v>
                </c:pt>
                <c:pt idx="8">
                  <c:v>116.82462090981645</c:v>
                </c:pt>
                <c:pt idx="9">
                  <c:v>249.40143655227453</c:v>
                </c:pt>
                <c:pt idx="10">
                  <c:v>125.69832402234638</c:v>
                </c:pt>
                <c:pt idx="11">
                  <c:v>119.98204309656823</c:v>
                </c:pt>
                <c:pt idx="12">
                  <c:v>68.78691141260974</c:v>
                </c:pt>
                <c:pt idx="13">
                  <c:v>211.65203511572227</c:v>
                </c:pt>
                <c:pt idx="14">
                  <c:v>19.952114924181966</c:v>
                </c:pt>
                <c:pt idx="15">
                  <c:v>19.997007182761372</c:v>
                </c:pt>
                <c:pt idx="16">
                  <c:v>11.205107741420591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2D7-BCE1-6B12048B62E1}"/>
            </c:ext>
          </c:extLst>
        </c:ser>
        <c:ser>
          <c:idx val="1"/>
          <c:order val="1"/>
          <c:tx>
            <c:strRef>
              <c:f>Resumo!$G$27</c:f>
              <c:strCache>
                <c:ptCount val="1"/>
                <c:pt idx="0">
                  <c:v>VA/Cto (€/1ha)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Resumo!$B$28:$B$44</c:f>
              <c:strCache>
                <c:ptCount val="17"/>
                <c:pt idx="0">
                  <c:v>AP-MO / h</c:v>
                </c:pt>
                <c:pt idx="1">
                  <c:v>AP-Canas / un.</c:v>
                </c:pt>
                <c:pt idx="2">
                  <c:v>Pl-Nº bacelos / un.</c:v>
                </c:pt>
                <c:pt idx="3">
                  <c:v>Pl-+MO / h</c:v>
                </c:pt>
                <c:pt idx="4">
                  <c:v>Eb-Arame kg</c:v>
                </c:pt>
                <c:pt idx="5">
                  <c:v>Eb-Grampos / un.</c:v>
                </c:pt>
                <c:pt idx="6">
                  <c:v>Eb-Postes / un.</c:v>
                </c:pt>
                <c:pt idx="7">
                  <c:v>Eb-MO / h</c:v>
                </c:pt>
                <c:pt idx="8">
                  <c:v>Rg-MO / h</c:v>
                </c:pt>
                <c:pt idx="9">
                  <c:v>Rg-Tracção / h</c:v>
                </c:pt>
                <c:pt idx="10">
                  <c:v>Ex-Enxertador / h</c:v>
                </c:pt>
                <c:pt idx="11">
                  <c:v>Ex-MO / h</c:v>
                </c:pt>
                <c:pt idx="12">
                  <c:v>Ex-Garfos / un.</c:v>
                </c:pt>
                <c:pt idx="13">
                  <c:v>Ex-Tutores / un.</c:v>
                </c:pt>
                <c:pt idx="14">
                  <c:v>ER-Enxertador / h</c:v>
                </c:pt>
                <c:pt idx="15">
                  <c:v>ER-MO / h</c:v>
                </c:pt>
                <c:pt idx="16">
                  <c:v>ER-Garfos / un.</c:v>
                </c:pt>
              </c:strCache>
            </c:strRef>
          </c:cat>
          <c:val>
            <c:numRef>
              <c:f>Resumo!$G$28:$G$44</c:f>
              <c:numCache>
                <c:formatCode>0.00</c:formatCode>
                <c:ptCount val="17"/>
                <c:pt idx="0">
                  <c:v>480.8958499600958</c:v>
                </c:pt>
                <c:pt idx="1">
                  <c:v>105.24740622505986</c:v>
                </c:pt>
                <c:pt idx="2">
                  <c:v>1578.7110933758979</c:v>
                </c:pt>
                <c:pt idx="3">
                  <c:v>234.70171588188347</c:v>
                </c:pt>
                <c:pt idx="4">
                  <c:v>451.31683958499599</c:v>
                </c:pt>
                <c:pt idx="5">
                  <c:v>108.52703511572227</c:v>
                </c:pt>
                <c:pt idx="6">
                  <c:v>488.20331205107738</c:v>
                </c:pt>
                <c:pt idx="7">
                  <c:v>411.31284916201122</c:v>
                </c:pt>
                <c:pt idx="8">
                  <c:v>234.70171588188347</c:v>
                </c:pt>
                <c:pt idx="9">
                  <c:v>259.37749401436554</c:v>
                </c:pt>
                <c:pt idx="10">
                  <c:v>219.47326416600163</c:v>
                </c:pt>
                <c:pt idx="11">
                  <c:v>186.28790901835595</c:v>
                </c:pt>
                <c:pt idx="12">
                  <c:v>102.27254588986433</c:v>
                </c:pt>
                <c:pt idx="13">
                  <c:v>314.68475658419794</c:v>
                </c:pt>
                <c:pt idx="14">
                  <c:v>19.952114924181966</c:v>
                </c:pt>
                <c:pt idx="15">
                  <c:v>15.787110933758978</c:v>
                </c:pt>
                <c:pt idx="16">
                  <c:v>8.8966480446927374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2D7-BCE1-6B12048B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8209296"/>
        <c:axId val="1"/>
      </c:barChart>
      <c:catAx>
        <c:axId val="32820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28209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334606495596639"/>
          <c:y val="0.91667010213789824"/>
          <c:w val="0.2457467769330412"/>
          <c:h val="6.140373889918936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624840</xdr:colOff>
      <xdr:row>1</xdr:row>
      <xdr:rowOff>22860</xdr:rowOff>
    </xdr:from>
    <xdr:to>
      <xdr:col>20</xdr:col>
      <xdr:colOff>617220</xdr:colOff>
      <xdr:row>21</xdr:row>
      <xdr:rowOff>38100</xdr:rowOff>
    </xdr:to>
    <xdr:graphicFrame macro="">
      <xdr:nvGraphicFramePr>
        <xdr:cNvPr id="104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</xdr:colOff>
      <xdr:row>26</xdr:row>
      <xdr:rowOff>22860</xdr:rowOff>
    </xdr:from>
    <xdr:to>
      <xdr:col>20</xdr:col>
      <xdr:colOff>594360</xdr:colOff>
      <xdr:row>44</xdr:row>
      <xdr:rowOff>7620</xdr:rowOff>
    </xdr:to>
    <xdr:graphicFrame macro="">
      <xdr:nvGraphicFramePr>
        <xdr:cNvPr id="104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0.38514</cdr:x>
      <cdr:y>0.19838</cdr:y>
    </cdr:from>
    <cdr:to>
      <cdr:x>0.64177</cdr:x>
      <cdr:y>0.29145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105150" y="738188"/>
          <a:ext cx="20097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PT" sz="1400"/>
            <a:t>Sistematização do solo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santos.utad.pt/pub-fas/xls/16INCL_DENS0205.XLS" TargetMode="External"/><Relationship Id="rId1" Type="http://schemas.openxmlformats.org/officeDocument/2006/relationships/hyperlink" Target="https://fsantos.utad.pt/pub-fas/xls/16TABPATNB0205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pane ySplit="1" topLeftCell="A2" activePane="bottomLeft" state="frozen"/>
      <selection pane="bottomLeft" activeCell="L15" sqref="L15"/>
    </sheetView>
  </sheetViews>
  <sheetFormatPr defaultColWidth="9.109375" defaultRowHeight="13.8" x14ac:dyDescent="0.3"/>
  <cols>
    <col min="1" max="1" width="17.5546875" style="48" customWidth="1"/>
    <col min="2" max="2" width="21.44140625" style="50" customWidth="1"/>
    <col min="3" max="3" width="18.33203125" style="50" customWidth="1"/>
    <col min="4" max="16384" width="9.109375" style="48"/>
  </cols>
  <sheetData>
    <row r="1" spans="1:3" ht="20.100000000000001" customHeight="1" x14ac:dyDescent="0.3">
      <c r="B1" s="53" t="s">
        <v>165</v>
      </c>
      <c r="C1" s="53" t="s">
        <v>166</v>
      </c>
    </row>
    <row r="2" spans="1:3" ht="20.100000000000001" customHeight="1" x14ac:dyDescent="0.3">
      <c r="A2" s="48" t="s">
        <v>203</v>
      </c>
      <c r="B2" s="50">
        <v>40</v>
      </c>
      <c r="C2" s="50">
        <v>40</v>
      </c>
    </row>
    <row r="3" spans="1:3" ht="20.100000000000001" customHeight="1" x14ac:dyDescent="0.3">
      <c r="A3" s="48" t="s">
        <v>211</v>
      </c>
      <c r="B3" s="50">
        <v>200</v>
      </c>
      <c r="C3" s="50" t="s">
        <v>84</v>
      </c>
    </row>
    <row r="4" spans="1:3" ht="20.100000000000001" customHeight="1" x14ac:dyDescent="0.3">
      <c r="A4" s="48" t="s">
        <v>204</v>
      </c>
      <c r="B4" s="47">
        <v>2</v>
      </c>
      <c r="C4" s="47">
        <v>2</v>
      </c>
    </row>
    <row r="5" spans="1:3" ht="20.100000000000001" customHeight="1" x14ac:dyDescent="0.3">
      <c r="A5" s="48" t="s">
        <v>205</v>
      </c>
      <c r="B5" s="47">
        <v>1.1000000000000001</v>
      </c>
      <c r="C5" s="47">
        <v>1.1000000000000001</v>
      </c>
    </row>
    <row r="6" spans="1:3" ht="20.100000000000001" customHeight="1" x14ac:dyDescent="0.3">
      <c r="A6" s="48" t="s">
        <v>210</v>
      </c>
      <c r="B6" s="50">
        <v>1.8</v>
      </c>
      <c r="C6" s="50" t="s">
        <v>84</v>
      </c>
    </row>
    <row r="7" spans="1:3" ht="20.100000000000001" customHeight="1" x14ac:dyDescent="0.3">
      <c r="A7" s="48" t="s">
        <v>209</v>
      </c>
      <c r="B7" s="50">
        <v>1</v>
      </c>
      <c r="C7" s="50" t="s">
        <v>84</v>
      </c>
    </row>
    <row r="8" spans="1:3" ht="20.100000000000001" customHeight="1" x14ac:dyDescent="0.3"/>
    <row r="9" spans="1:3" ht="20.100000000000001" customHeight="1" x14ac:dyDescent="0.3"/>
    <row r="10" spans="1:3" ht="20.100000000000001" customHeight="1" x14ac:dyDescent="0.3">
      <c r="A10" s="48" t="s">
        <v>212</v>
      </c>
      <c r="B10" s="50">
        <v>4040</v>
      </c>
      <c r="C10" s="50">
        <v>4220</v>
      </c>
    </row>
    <row r="11" spans="1:3" ht="20.100000000000001" customHeight="1" x14ac:dyDescent="0.3"/>
    <row r="12" spans="1:3" ht="20.100000000000001" customHeight="1" x14ac:dyDescent="0.3"/>
    <row r="13" spans="1:3" ht="20.100000000000001" customHeight="1" x14ac:dyDescent="0.3"/>
    <row r="14" spans="1:3" ht="20.100000000000001" customHeight="1" x14ac:dyDescent="0.3"/>
    <row r="15" spans="1:3" ht="20.100000000000001" customHeight="1" x14ac:dyDescent="0.3"/>
    <row r="16" spans="1:3" ht="20.100000000000001" customHeight="1" x14ac:dyDescent="0.3"/>
    <row r="17" spans="1:3" ht="20.100000000000001" customHeight="1" x14ac:dyDescent="0.3">
      <c r="A17" s="58" t="s">
        <v>206</v>
      </c>
      <c r="B17" s="58"/>
      <c r="C17" s="58"/>
    </row>
    <row r="18" spans="1:3" ht="20.100000000000001" customHeight="1" x14ac:dyDescent="0.3">
      <c r="A18" s="59" t="s">
        <v>207</v>
      </c>
      <c r="B18" s="58"/>
      <c r="C18" s="58"/>
    </row>
    <row r="19" spans="1:3" ht="20.100000000000001" customHeight="1" x14ac:dyDescent="0.3">
      <c r="A19" s="59" t="s">
        <v>208</v>
      </c>
      <c r="B19" s="58"/>
      <c r="C19" s="58"/>
    </row>
    <row r="20" spans="1:3" ht="20.100000000000001" customHeight="1" x14ac:dyDescent="0.3"/>
    <row r="21" spans="1:3" ht="20.100000000000001" customHeight="1" x14ac:dyDescent="0.3"/>
    <row r="22" spans="1:3" ht="20.100000000000001" customHeight="1" x14ac:dyDescent="0.3"/>
  </sheetData>
  <mergeCells count="3">
    <mergeCell ref="A17:C17"/>
    <mergeCell ref="A18:C18"/>
    <mergeCell ref="A19:C19"/>
  </mergeCells>
  <hyperlinks>
    <hyperlink ref="A18" r:id="rId1"/>
    <hyperlink ref="A19" r:id="rId2"/>
  </hyperlinks>
  <printOptions horizontalCentered="1" gridLines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="95" zoomScaleNormal="9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B6" sqref="B6"/>
    </sheetView>
  </sheetViews>
  <sheetFormatPr defaultColWidth="9.109375" defaultRowHeight="13.8" x14ac:dyDescent="0.3"/>
  <cols>
    <col min="1" max="1" width="22" style="18" customWidth="1"/>
    <col min="2" max="2" width="17.44140625" style="19" customWidth="1"/>
    <col min="3" max="3" width="10.109375" style="5" customWidth="1"/>
    <col min="4" max="4" width="12.6640625" style="5" customWidth="1"/>
    <col min="5" max="5" width="10.109375" style="5" customWidth="1"/>
    <col min="6" max="6" width="9.109375" style="18"/>
    <col min="7" max="7" width="8.6640625" style="18" customWidth="1"/>
    <col min="8" max="8" width="12" style="18" customWidth="1"/>
    <col min="9" max="9" width="10.44140625" style="4" customWidth="1"/>
    <col min="10" max="10" width="11.6640625" style="4" customWidth="1"/>
    <col min="11" max="11" width="8.6640625" style="18" customWidth="1"/>
    <col min="12" max="12" width="12.33203125" style="18" customWidth="1"/>
    <col min="13" max="13" width="9.109375" style="4"/>
    <col min="14" max="14" width="11.33203125" style="4" customWidth="1"/>
    <col min="15" max="15" width="7.33203125" style="4" customWidth="1"/>
    <col min="16" max="16" width="7.33203125" style="5" customWidth="1"/>
    <col min="17" max="16384" width="9.109375" style="18"/>
  </cols>
  <sheetData>
    <row r="1" spans="1:16" s="5" customFormat="1" ht="15" customHeight="1" x14ac:dyDescent="0.3">
      <c r="A1" s="1" t="s">
        <v>0</v>
      </c>
      <c r="B1" s="2">
        <v>1</v>
      </c>
      <c r="C1" s="60" t="s">
        <v>129</v>
      </c>
      <c r="D1" s="61"/>
      <c r="E1" s="61"/>
      <c r="F1" s="62" t="s">
        <v>124</v>
      </c>
      <c r="G1" s="63"/>
      <c r="H1" s="63"/>
      <c r="I1" s="63"/>
      <c r="J1" s="63"/>
      <c r="K1" s="63"/>
      <c r="L1" s="63"/>
      <c r="M1" s="63"/>
      <c r="N1" s="3"/>
      <c r="O1" s="4"/>
    </row>
    <row r="2" spans="1:16" s="10" customFormat="1" ht="31.5" customHeight="1" x14ac:dyDescent="0.3">
      <c r="A2" s="6" t="s">
        <v>122</v>
      </c>
      <c r="B2" s="6" t="s">
        <v>123</v>
      </c>
      <c r="C2" s="7" t="s">
        <v>130</v>
      </c>
      <c r="D2" s="7" t="s">
        <v>42</v>
      </c>
      <c r="E2" s="7" t="s">
        <v>43</v>
      </c>
      <c r="F2" s="8" t="s">
        <v>132</v>
      </c>
      <c r="G2" s="64" t="s">
        <v>165</v>
      </c>
      <c r="H2" s="64"/>
      <c r="I2" s="64"/>
      <c r="J2" s="65"/>
      <c r="K2" s="64" t="s">
        <v>166</v>
      </c>
      <c r="L2" s="64"/>
      <c r="M2" s="64"/>
      <c r="N2" s="65"/>
      <c r="O2" s="9" t="s">
        <v>45</v>
      </c>
      <c r="P2" s="9" t="s">
        <v>45</v>
      </c>
    </row>
    <row r="3" spans="1:16" s="5" customFormat="1" ht="15" customHeight="1" x14ac:dyDescent="0.3">
      <c r="A3" s="11"/>
      <c r="B3" s="11"/>
      <c r="C3" s="12" t="s">
        <v>128</v>
      </c>
      <c r="D3" s="13" t="s">
        <v>41</v>
      </c>
      <c r="E3" s="13" t="s">
        <v>41</v>
      </c>
      <c r="F3" s="14" t="s">
        <v>131</v>
      </c>
      <c r="G3" s="15" t="s">
        <v>138</v>
      </c>
      <c r="H3" s="15" t="s">
        <v>140</v>
      </c>
      <c r="I3" s="16" t="s">
        <v>139</v>
      </c>
      <c r="J3" s="16" t="s">
        <v>141</v>
      </c>
      <c r="K3" s="15" t="s">
        <v>138</v>
      </c>
      <c r="L3" s="15" t="s">
        <v>140</v>
      </c>
      <c r="M3" s="16" t="s">
        <v>139</v>
      </c>
      <c r="N3" s="16" t="s">
        <v>141</v>
      </c>
      <c r="O3" s="17" t="s">
        <v>47</v>
      </c>
      <c r="P3" s="17" t="s">
        <v>142</v>
      </c>
    </row>
    <row r="4" spans="1:16" s="36" customFormat="1" ht="14.4" x14ac:dyDescent="0.3">
      <c r="A4" s="68" t="s">
        <v>1</v>
      </c>
      <c r="B4" s="69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  <c r="O4" s="33"/>
      <c r="P4" s="32"/>
    </row>
    <row r="5" spans="1:16" s="36" customFormat="1" ht="12" customHeight="1" x14ac:dyDescent="0.3">
      <c r="A5" s="46" t="s">
        <v>143</v>
      </c>
      <c r="B5" s="37" t="s">
        <v>73</v>
      </c>
      <c r="C5" s="38" t="s">
        <v>40</v>
      </c>
      <c r="D5" s="38" t="s">
        <v>44</v>
      </c>
      <c r="E5" s="38" t="s">
        <v>44</v>
      </c>
      <c r="F5" s="30">
        <v>33.419792498004789</v>
      </c>
      <c r="G5" s="28">
        <v>14</v>
      </c>
      <c r="H5" s="28">
        <f>+G5*$B$1</f>
        <v>14</v>
      </c>
      <c r="I5" s="33">
        <f>+F5*G5</f>
        <v>467.87709497206703</v>
      </c>
      <c r="J5" s="33">
        <f>+F5*H5</f>
        <v>467.87709497206703</v>
      </c>
      <c r="K5" s="28">
        <v>14</v>
      </c>
      <c r="L5" s="28">
        <f>+K5*$B$1</f>
        <v>14</v>
      </c>
      <c r="M5" s="33">
        <f>+F5*K5</f>
        <v>467.87709497206703</v>
      </c>
      <c r="N5" s="33">
        <f>+F5*L5</f>
        <v>467.87709497206703</v>
      </c>
      <c r="O5" s="33">
        <f>+I5-M5</f>
        <v>0</v>
      </c>
      <c r="P5" s="33">
        <f>+J5-N5</f>
        <v>0</v>
      </c>
    </row>
    <row r="6" spans="1:16" s="36" customFormat="1" ht="12" customHeight="1" x14ac:dyDescent="0.3">
      <c r="B6" s="37"/>
      <c r="C6" s="32"/>
      <c r="D6" s="32"/>
      <c r="E6" s="32"/>
      <c r="F6" s="30"/>
      <c r="G6" s="28"/>
      <c r="H6" s="28"/>
      <c r="I6" s="33"/>
      <c r="J6" s="33"/>
      <c r="K6" s="28"/>
      <c r="L6" s="28"/>
      <c r="M6" s="33"/>
      <c r="N6" s="33"/>
      <c r="O6" s="33"/>
      <c r="P6" s="32"/>
    </row>
    <row r="7" spans="1:16" s="36" customFormat="1" x14ac:dyDescent="0.3">
      <c r="A7" s="39" t="s">
        <v>2</v>
      </c>
      <c r="B7" s="40" t="s">
        <v>62</v>
      </c>
      <c r="C7" s="38" t="s">
        <v>40</v>
      </c>
      <c r="D7" s="38" t="s">
        <v>46</v>
      </c>
      <c r="E7" s="32">
        <v>0</v>
      </c>
      <c r="F7" s="30">
        <v>33.419792498004789</v>
      </c>
      <c r="G7" s="28">
        <v>35</v>
      </c>
      <c r="H7" s="28">
        <f>+G7*$B$1</f>
        <v>35</v>
      </c>
      <c r="I7" s="33">
        <f>+F7*G7</f>
        <v>1169.6927374301677</v>
      </c>
      <c r="J7" s="33">
        <f>+F7*H7</f>
        <v>1169.6927374301677</v>
      </c>
      <c r="K7" s="28">
        <v>0</v>
      </c>
      <c r="L7" s="28">
        <f>+K7*$B$1</f>
        <v>0</v>
      </c>
      <c r="M7" s="33">
        <f>+F7*K7</f>
        <v>0</v>
      </c>
      <c r="N7" s="33">
        <f>+F7*L7</f>
        <v>0</v>
      </c>
      <c r="O7" s="33"/>
      <c r="P7" s="32"/>
    </row>
    <row r="8" spans="1:16" s="36" customFormat="1" x14ac:dyDescent="0.3">
      <c r="B8" s="40" t="s">
        <v>63</v>
      </c>
      <c r="C8" s="38" t="s">
        <v>49</v>
      </c>
      <c r="D8" s="38" t="s">
        <v>49</v>
      </c>
      <c r="E8" s="32">
        <v>0</v>
      </c>
      <c r="F8" s="30">
        <v>11.971268954509178</v>
      </c>
      <c r="G8" s="28">
        <v>11.9</v>
      </c>
      <c r="H8" s="28">
        <f>+G8*$B$1</f>
        <v>11.9</v>
      </c>
      <c r="I8" s="33">
        <f>+F8*G8</f>
        <v>142.45810055865923</v>
      </c>
      <c r="J8" s="33">
        <f>+F8*H8</f>
        <v>142.45810055865923</v>
      </c>
      <c r="K8" s="28">
        <v>0</v>
      </c>
      <c r="L8" s="28">
        <f>+K8*$B$1</f>
        <v>0</v>
      </c>
      <c r="M8" s="33">
        <f>+F8*K8</f>
        <v>0</v>
      </c>
      <c r="N8" s="33">
        <f>+F8*L8</f>
        <v>0</v>
      </c>
      <c r="O8" s="33"/>
      <c r="P8" s="32"/>
    </row>
    <row r="9" spans="1:16" s="36" customFormat="1" x14ac:dyDescent="0.3">
      <c r="B9" s="40" t="s">
        <v>64</v>
      </c>
      <c r="C9" s="38" t="s">
        <v>50</v>
      </c>
      <c r="D9" s="38" t="s">
        <v>40</v>
      </c>
      <c r="E9" s="32">
        <v>0</v>
      </c>
      <c r="F9" s="30">
        <v>5.4419393455706304</v>
      </c>
      <c r="G9" s="28">
        <v>32.200000000000003</v>
      </c>
      <c r="H9" s="28">
        <f>+G9*$B$1</f>
        <v>32.200000000000003</v>
      </c>
      <c r="I9" s="33">
        <f>+F9*G9</f>
        <v>175.23044692737432</v>
      </c>
      <c r="J9" s="33">
        <f>+F9*H9</f>
        <v>175.23044692737432</v>
      </c>
      <c r="K9" s="28">
        <v>0</v>
      </c>
      <c r="L9" s="28">
        <f>+K9*$B$1</f>
        <v>0</v>
      </c>
      <c r="M9" s="33">
        <f>+F9*K9</f>
        <v>0</v>
      </c>
      <c r="N9" s="33">
        <f>+F9*L9</f>
        <v>0</v>
      </c>
      <c r="O9" s="33"/>
      <c r="P9" s="32"/>
    </row>
    <row r="10" spans="1:16" s="36" customFormat="1" x14ac:dyDescent="0.3">
      <c r="B10" s="40" t="s">
        <v>3</v>
      </c>
      <c r="C10" s="32"/>
      <c r="D10" s="32"/>
      <c r="E10" s="32"/>
      <c r="F10" s="30"/>
      <c r="G10" s="28"/>
      <c r="H10" s="28"/>
      <c r="I10" s="33">
        <f>SUM(I7:I9)</f>
        <v>1487.3812849162011</v>
      </c>
      <c r="J10" s="33">
        <f>SUM(J7:J9)</f>
        <v>1487.3812849162011</v>
      </c>
      <c r="K10" s="28"/>
      <c r="L10" s="28"/>
      <c r="M10" s="33">
        <f>+F10*K10</f>
        <v>0</v>
      </c>
      <c r="N10" s="33">
        <f>SUM(N7:N9)</f>
        <v>0</v>
      </c>
      <c r="O10" s="33">
        <f>+I10-M10</f>
        <v>1487.3812849162011</v>
      </c>
      <c r="P10" s="33">
        <f>+J10-N10</f>
        <v>1487.3812849162011</v>
      </c>
    </row>
    <row r="11" spans="1:16" s="36" customFormat="1" ht="12" customHeight="1" x14ac:dyDescent="0.3">
      <c r="B11" s="37"/>
      <c r="C11" s="32"/>
      <c r="D11" s="32"/>
      <c r="E11" s="32"/>
      <c r="F11" s="30"/>
      <c r="G11" s="28"/>
      <c r="H11" s="28"/>
      <c r="I11" s="33"/>
      <c r="J11" s="33"/>
      <c r="K11" s="28"/>
      <c r="L11" s="28"/>
      <c r="M11" s="33"/>
      <c r="N11" s="33"/>
      <c r="O11" s="33"/>
      <c r="P11" s="32"/>
    </row>
    <row r="12" spans="1:16" s="36" customFormat="1" x14ac:dyDescent="0.3">
      <c r="A12" s="39" t="s">
        <v>4</v>
      </c>
      <c r="B12" s="40" t="s">
        <v>62</v>
      </c>
      <c r="C12" s="38" t="s">
        <v>40</v>
      </c>
      <c r="D12" s="38" t="s">
        <v>78</v>
      </c>
      <c r="E12" s="38" t="s">
        <v>102</v>
      </c>
      <c r="F12" s="30">
        <v>33.419792498004789</v>
      </c>
      <c r="G12" s="28">
        <v>166.8</v>
      </c>
      <c r="H12" s="28">
        <f>+G12*$B$1</f>
        <v>166.8</v>
      </c>
      <c r="I12" s="33">
        <f>+F12*G12</f>
        <v>5574.4213886671987</v>
      </c>
      <c r="J12" s="33">
        <f>+F12*H12</f>
        <v>5574.4213886671987</v>
      </c>
      <c r="K12" s="28">
        <v>218.9</v>
      </c>
      <c r="L12" s="28">
        <f>+K12*$B$1</f>
        <v>218.9</v>
      </c>
      <c r="M12" s="33">
        <f>+F12*K12</f>
        <v>7315.5925778132487</v>
      </c>
      <c r="N12" s="33">
        <f>+F12*L12</f>
        <v>7315.5925778132487</v>
      </c>
      <c r="O12" s="33"/>
      <c r="P12" s="32"/>
    </row>
    <row r="13" spans="1:16" s="36" customFormat="1" x14ac:dyDescent="0.3">
      <c r="B13" s="40" t="s">
        <v>63</v>
      </c>
      <c r="C13" s="38" t="s">
        <v>49</v>
      </c>
      <c r="D13" s="38" t="s">
        <v>79</v>
      </c>
      <c r="E13" s="38" t="s">
        <v>103</v>
      </c>
      <c r="F13" s="30">
        <v>11.971268954509178</v>
      </c>
      <c r="G13" s="28">
        <v>50.1</v>
      </c>
      <c r="H13" s="28">
        <f>+G13*$B$1</f>
        <v>50.1</v>
      </c>
      <c r="I13" s="33">
        <f>+F13*G13</f>
        <v>599.76057462090978</v>
      </c>
      <c r="J13" s="33">
        <f>+F13*H13</f>
        <v>599.76057462090978</v>
      </c>
      <c r="K13" s="28">
        <v>107.9</v>
      </c>
      <c r="L13" s="28">
        <f>+K13*$B$1</f>
        <v>107.9</v>
      </c>
      <c r="M13" s="33">
        <f>+F13*K13</f>
        <v>1291.6999201915403</v>
      </c>
      <c r="N13" s="33">
        <f>+F13*L13</f>
        <v>1291.6999201915403</v>
      </c>
      <c r="O13" s="33"/>
      <c r="P13" s="32"/>
    </row>
    <row r="14" spans="1:16" s="36" customFormat="1" x14ac:dyDescent="0.3">
      <c r="B14" s="40" t="s">
        <v>64</v>
      </c>
      <c r="C14" s="38" t="s">
        <v>50</v>
      </c>
      <c r="D14" s="38" t="s">
        <v>80</v>
      </c>
      <c r="E14" s="38" t="s">
        <v>90</v>
      </c>
      <c r="F14" s="30">
        <v>5.4419393455706304</v>
      </c>
      <c r="G14" s="28">
        <v>150.6</v>
      </c>
      <c r="H14" s="28">
        <f>+G14*$B$1</f>
        <v>150.6</v>
      </c>
      <c r="I14" s="33">
        <f>+F14*G14</f>
        <v>819.55606544293687</v>
      </c>
      <c r="J14" s="33">
        <f>+F14*H14</f>
        <v>819.55606544293687</v>
      </c>
      <c r="K14" s="28">
        <v>164.7</v>
      </c>
      <c r="L14" s="28">
        <f>+K14*$B$1</f>
        <v>164.7</v>
      </c>
      <c r="M14" s="33">
        <f>+F14*K14</f>
        <v>896.28741021548274</v>
      </c>
      <c r="N14" s="33">
        <f>+F14*L14</f>
        <v>896.28741021548274</v>
      </c>
      <c r="O14" s="33"/>
      <c r="P14" s="32"/>
    </row>
    <row r="15" spans="1:16" s="36" customFormat="1" x14ac:dyDescent="0.3">
      <c r="B15" s="40" t="s">
        <v>5</v>
      </c>
      <c r="C15" s="32"/>
      <c r="D15" s="32"/>
      <c r="E15" s="32"/>
      <c r="F15" s="30"/>
      <c r="G15" s="28"/>
      <c r="H15" s="28"/>
      <c r="I15" s="33">
        <f>SUM(I12:I14)</f>
        <v>6993.7380287310461</v>
      </c>
      <c r="J15" s="33">
        <f>SUM(J12:J14)</f>
        <v>6993.7380287310461</v>
      </c>
      <c r="K15" s="28"/>
      <c r="L15" s="28"/>
      <c r="M15" s="33">
        <f>SUM(M12:M14)</f>
        <v>9503.5799082202702</v>
      </c>
      <c r="N15" s="33">
        <f>SUM(N12:N14)</f>
        <v>9503.5799082202702</v>
      </c>
      <c r="O15" s="33">
        <f>+I15-M15</f>
        <v>-2509.8418794892241</v>
      </c>
      <c r="P15" s="33">
        <f>+J15-N15</f>
        <v>-2509.8418794892241</v>
      </c>
    </row>
    <row r="16" spans="1:16" s="36" customFormat="1" ht="12" customHeight="1" x14ac:dyDescent="0.3">
      <c r="B16" s="37"/>
      <c r="C16" s="32"/>
      <c r="D16" s="32"/>
      <c r="E16" s="32"/>
      <c r="F16" s="30"/>
      <c r="G16" s="28"/>
      <c r="H16" s="28"/>
      <c r="I16" s="33"/>
      <c r="J16" s="33"/>
      <c r="K16" s="28"/>
      <c r="L16" s="28"/>
      <c r="M16" s="33"/>
      <c r="N16" s="33"/>
      <c r="O16" s="33"/>
      <c r="P16" s="32"/>
    </row>
    <row r="17" spans="1:16" s="36" customFormat="1" x14ac:dyDescent="0.3">
      <c r="A17" s="39" t="s">
        <v>6</v>
      </c>
      <c r="B17" s="40" t="s">
        <v>62</v>
      </c>
      <c r="C17" s="38" t="s">
        <v>40</v>
      </c>
      <c r="D17" s="38" t="s">
        <v>81</v>
      </c>
      <c r="E17" s="38" t="s">
        <v>104</v>
      </c>
      <c r="F17" s="30">
        <v>33.419792498004789</v>
      </c>
      <c r="G17" s="28">
        <v>8.48</v>
      </c>
      <c r="H17" s="28">
        <f>+G17*$B$1</f>
        <v>8.48</v>
      </c>
      <c r="I17" s="33">
        <f>+F17*G17</f>
        <v>283.39984038308063</v>
      </c>
      <c r="J17" s="33">
        <f>+F17*H17</f>
        <v>283.39984038308063</v>
      </c>
      <c r="K17" s="28">
        <v>8.99</v>
      </c>
      <c r="L17" s="28">
        <f>+K17*$B$1</f>
        <v>8.99</v>
      </c>
      <c r="M17" s="33">
        <f>+F17*K17</f>
        <v>300.44393455706307</v>
      </c>
      <c r="N17" s="33">
        <f>+F17*L17</f>
        <v>300.44393455706307</v>
      </c>
      <c r="O17" s="33"/>
      <c r="P17" s="32"/>
    </row>
    <row r="18" spans="1:16" s="36" customFormat="1" x14ac:dyDescent="0.3">
      <c r="A18" s="39" t="s">
        <v>7</v>
      </c>
      <c r="B18" s="40" t="s">
        <v>63</v>
      </c>
      <c r="C18" s="38" t="s">
        <v>49</v>
      </c>
      <c r="D18" s="38" t="s">
        <v>82</v>
      </c>
      <c r="E18" s="38" t="s">
        <v>105</v>
      </c>
      <c r="F18" s="30">
        <v>11.971268954509178</v>
      </c>
      <c r="G18" s="28">
        <v>0.2</v>
      </c>
      <c r="H18" s="28">
        <f>+G18*$B$1</f>
        <v>0.2</v>
      </c>
      <c r="I18" s="33">
        <f>+F18*G18</f>
        <v>2.3942537909018355</v>
      </c>
      <c r="J18" s="33">
        <f>+F18*H18</f>
        <v>2.3942537909018355</v>
      </c>
      <c r="K18" s="28">
        <v>0.21</v>
      </c>
      <c r="L18" s="28">
        <f>+K18*$B$1</f>
        <v>0.21</v>
      </c>
      <c r="M18" s="33">
        <f>+F18*K18</f>
        <v>2.5139664804469271</v>
      </c>
      <c r="N18" s="33">
        <f>+F18*L18</f>
        <v>2.5139664804469271</v>
      </c>
      <c r="O18" s="33"/>
      <c r="P18" s="32"/>
    </row>
    <row r="19" spans="1:16" s="36" customFormat="1" x14ac:dyDescent="0.3">
      <c r="A19" s="39" t="s">
        <v>8</v>
      </c>
      <c r="B19" s="40" t="s">
        <v>64</v>
      </c>
      <c r="C19" s="38" t="s">
        <v>50</v>
      </c>
      <c r="D19" s="38" t="s">
        <v>83</v>
      </c>
      <c r="E19" s="38" t="s">
        <v>106</v>
      </c>
      <c r="F19" s="30">
        <v>5.4419393455706304</v>
      </c>
      <c r="G19" s="28">
        <v>0.86</v>
      </c>
      <c r="H19" s="28">
        <f>+G19*$B$1</f>
        <v>0.86</v>
      </c>
      <c r="I19" s="33">
        <f>+F19*G19</f>
        <v>4.6800678371907418</v>
      </c>
      <c r="J19" s="33">
        <f>+F19*H19</f>
        <v>4.6800678371907418</v>
      </c>
      <c r="K19" s="28">
        <v>0.92</v>
      </c>
      <c r="L19" s="28">
        <f>+K19*$B$1</f>
        <v>0.92</v>
      </c>
      <c r="M19" s="33">
        <f>+F19*K19</f>
        <v>5.0065841979249806</v>
      </c>
      <c r="N19" s="33">
        <f>+F19*L19</f>
        <v>5.0065841979249806</v>
      </c>
      <c r="O19" s="33"/>
      <c r="P19" s="32"/>
    </row>
    <row r="20" spans="1:16" s="36" customFormat="1" x14ac:dyDescent="0.3">
      <c r="A20" s="39"/>
      <c r="B20" s="40" t="s">
        <v>9</v>
      </c>
      <c r="C20" s="32"/>
      <c r="D20" s="32"/>
      <c r="E20" s="32"/>
      <c r="F20" s="30"/>
      <c r="G20" s="28"/>
      <c r="H20" s="28"/>
      <c r="I20" s="33">
        <f>SUM(I17:I19)</f>
        <v>290.47416201117318</v>
      </c>
      <c r="J20" s="33">
        <f>SUM(J17:J19)</f>
        <v>290.47416201117318</v>
      </c>
      <c r="K20" s="28"/>
      <c r="L20" s="28"/>
      <c r="M20" s="33">
        <f>SUM(M17:M19)</f>
        <v>307.96448523543501</v>
      </c>
      <c r="N20" s="33">
        <f>SUM(N17:N19)</f>
        <v>307.96448523543501</v>
      </c>
      <c r="O20" s="33">
        <f>+I20-M20</f>
        <v>-17.490323224261829</v>
      </c>
      <c r="P20" s="33">
        <f>+J20-N20</f>
        <v>-17.490323224261829</v>
      </c>
    </row>
    <row r="21" spans="1:16" s="36" customFormat="1" ht="12" customHeight="1" x14ac:dyDescent="0.3">
      <c r="B21" s="37"/>
      <c r="C21" s="32"/>
      <c r="D21" s="32"/>
      <c r="E21" s="32"/>
      <c r="F21" s="30"/>
      <c r="G21" s="28"/>
      <c r="H21" s="28"/>
      <c r="I21" s="33"/>
      <c r="J21" s="33"/>
      <c r="K21" s="28"/>
      <c r="L21" s="28"/>
      <c r="M21" s="33"/>
      <c r="N21" s="33"/>
      <c r="O21" s="33"/>
      <c r="P21" s="32"/>
    </row>
    <row r="22" spans="1:16" s="36" customFormat="1" x14ac:dyDescent="0.3">
      <c r="A22" s="39" t="s">
        <v>10</v>
      </c>
      <c r="B22" s="40"/>
      <c r="C22" s="32"/>
      <c r="D22" s="32"/>
      <c r="E22" s="32"/>
      <c r="F22" s="30"/>
      <c r="G22" s="28"/>
      <c r="H22" s="28"/>
      <c r="I22" s="33"/>
      <c r="J22" s="33"/>
      <c r="K22" s="28"/>
      <c r="L22" s="28"/>
      <c r="M22" s="33"/>
      <c r="N22" s="33"/>
      <c r="O22" s="33"/>
      <c r="P22" s="32"/>
    </row>
    <row r="23" spans="1:16" s="36" customFormat="1" x14ac:dyDescent="0.3">
      <c r="A23" s="39" t="s">
        <v>11</v>
      </c>
      <c r="B23" s="40" t="s">
        <v>62</v>
      </c>
      <c r="C23" s="38" t="s">
        <v>51</v>
      </c>
      <c r="D23" s="32" t="s">
        <v>84</v>
      </c>
      <c r="E23" s="38" t="s">
        <v>107</v>
      </c>
      <c r="F23" s="30">
        <v>20.949720670391063</v>
      </c>
      <c r="G23" s="28">
        <v>0</v>
      </c>
      <c r="H23" s="28">
        <f>+G23*$B$1</f>
        <v>0</v>
      </c>
      <c r="I23" s="33">
        <f>+F23*G23</f>
        <v>0</v>
      </c>
      <c r="J23" s="33">
        <f>+F23*H23</f>
        <v>0</v>
      </c>
      <c r="K23" s="28">
        <v>15.63</v>
      </c>
      <c r="L23" s="28">
        <f>+K23*$B$1</f>
        <v>15.63</v>
      </c>
      <c r="M23" s="33">
        <f>+F23*K23</f>
        <v>327.4441340782123</v>
      </c>
      <c r="N23" s="33">
        <f>+F23*L23</f>
        <v>327.4441340782123</v>
      </c>
      <c r="O23" s="33"/>
      <c r="P23" s="32"/>
    </row>
    <row r="24" spans="1:16" s="36" customFormat="1" x14ac:dyDescent="0.3">
      <c r="A24" s="41" t="s">
        <v>77</v>
      </c>
      <c r="B24" s="40" t="s">
        <v>65</v>
      </c>
      <c r="C24" s="38" t="s">
        <v>54</v>
      </c>
      <c r="D24" s="38" t="s">
        <v>85</v>
      </c>
      <c r="E24" s="38" t="s">
        <v>133</v>
      </c>
      <c r="F24" s="30">
        <v>1.0524740622505986</v>
      </c>
      <c r="G24" s="28">
        <v>362.6</v>
      </c>
      <c r="H24" s="28">
        <f>+G24*$B$1</f>
        <v>362.6</v>
      </c>
      <c r="I24" s="33">
        <f>+F24*G24</f>
        <v>381.62709497206708</v>
      </c>
      <c r="J24" s="33">
        <f>+F24*H24</f>
        <v>381.62709497206708</v>
      </c>
      <c r="K24" s="28">
        <v>84.73</v>
      </c>
      <c r="L24" s="28">
        <f>+K24*$B$1</f>
        <v>84.73</v>
      </c>
      <c r="M24" s="33">
        <f>+F24*K24</f>
        <v>89.176127294493227</v>
      </c>
      <c r="N24" s="33">
        <f>+F24*L24</f>
        <v>89.176127294493227</v>
      </c>
      <c r="O24" s="33"/>
      <c r="P24" s="32"/>
    </row>
    <row r="25" spans="1:16" s="36" customFormat="1" x14ac:dyDescent="0.3">
      <c r="A25" s="39" t="s">
        <v>12</v>
      </c>
      <c r="B25" s="40" t="s">
        <v>62</v>
      </c>
      <c r="C25" s="38" t="s">
        <v>58</v>
      </c>
      <c r="D25" s="38" t="s">
        <v>86</v>
      </c>
      <c r="E25" s="38" t="s">
        <v>95</v>
      </c>
      <c r="F25" s="30">
        <v>9.9760574620909814</v>
      </c>
      <c r="G25" s="28">
        <v>30.36</v>
      </c>
      <c r="H25" s="28">
        <f>+G25*$B$1</f>
        <v>30.36</v>
      </c>
      <c r="I25" s="33">
        <f>+F25*G25</f>
        <v>302.8731045490822</v>
      </c>
      <c r="J25" s="33">
        <f>+F25*H25</f>
        <v>302.8731045490822</v>
      </c>
      <c r="K25" s="28">
        <v>25.42</v>
      </c>
      <c r="L25" s="28">
        <f>+K25*$B$1</f>
        <v>25.42</v>
      </c>
      <c r="M25" s="33">
        <f>+F25*K25</f>
        <v>253.59138068635278</v>
      </c>
      <c r="N25" s="33">
        <f>+F25*L25</f>
        <v>253.59138068635278</v>
      </c>
      <c r="O25" s="33"/>
      <c r="P25" s="32"/>
    </row>
    <row r="26" spans="1:16" s="36" customFormat="1" x14ac:dyDescent="0.3">
      <c r="A26" s="41" t="s">
        <v>77</v>
      </c>
      <c r="B26" s="40" t="s">
        <v>65</v>
      </c>
      <c r="C26" s="38" t="s">
        <v>54</v>
      </c>
      <c r="D26" s="38" t="s">
        <v>87</v>
      </c>
      <c r="E26" s="38" t="s">
        <v>109</v>
      </c>
      <c r="F26" s="30">
        <v>1.0524740622505986</v>
      </c>
      <c r="G26" s="28">
        <v>330.4</v>
      </c>
      <c r="H26" s="28">
        <f>+G26*$B$1</f>
        <v>330.4</v>
      </c>
      <c r="I26" s="33">
        <f>+F26*G26</f>
        <v>347.73743016759772</v>
      </c>
      <c r="J26" s="33">
        <f>+F26*H26</f>
        <v>347.73743016759772</v>
      </c>
      <c r="K26" s="28">
        <v>245.43</v>
      </c>
      <c r="L26" s="28">
        <f>+K26*$B$1</f>
        <v>245.43</v>
      </c>
      <c r="M26" s="33">
        <f>+F26*K26</f>
        <v>258.3087090981644</v>
      </c>
      <c r="N26" s="33">
        <f>+F26*L26</f>
        <v>258.3087090981644</v>
      </c>
      <c r="O26" s="33"/>
      <c r="P26" s="32"/>
    </row>
    <row r="27" spans="1:16" s="36" customFormat="1" x14ac:dyDescent="0.3">
      <c r="A27" s="39"/>
      <c r="B27" s="40" t="s">
        <v>13</v>
      </c>
      <c r="C27" s="32"/>
      <c r="D27" s="32"/>
      <c r="E27" s="32"/>
      <c r="F27" s="30"/>
      <c r="G27" s="28"/>
      <c r="H27" s="28"/>
      <c r="I27" s="33">
        <f>SUM(I23:I26)</f>
        <v>1032.2376296887469</v>
      </c>
      <c r="J27" s="33">
        <f>SUM(J23:J26)</f>
        <v>1032.2376296887469</v>
      </c>
      <c r="K27" s="28"/>
      <c r="L27" s="28"/>
      <c r="M27" s="33">
        <f>SUM(M23:M26)</f>
        <v>928.52035115722265</v>
      </c>
      <c r="N27" s="33">
        <f>SUM(N23:N26)</f>
        <v>928.52035115722265</v>
      </c>
      <c r="O27" s="33">
        <f>+I27-M27</f>
        <v>103.71727853152424</v>
      </c>
      <c r="P27" s="33">
        <f>+J27-N27</f>
        <v>103.71727853152424</v>
      </c>
    </row>
    <row r="28" spans="1:16" s="36" customFormat="1" ht="12" customHeight="1" x14ac:dyDescent="0.3">
      <c r="B28" s="37"/>
      <c r="C28" s="32"/>
      <c r="D28" s="32"/>
      <c r="E28" s="32"/>
      <c r="F28" s="30"/>
      <c r="G28" s="28"/>
      <c r="H28" s="28"/>
      <c r="I28" s="33"/>
      <c r="J28" s="33"/>
      <c r="K28" s="28"/>
      <c r="L28" s="28"/>
      <c r="M28" s="33"/>
      <c r="N28" s="33"/>
      <c r="O28" s="33"/>
      <c r="P28" s="32"/>
    </row>
    <row r="29" spans="1:16" s="36" customFormat="1" x14ac:dyDescent="0.3">
      <c r="A29" s="39" t="s">
        <v>14</v>
      </c>
      <c r="B29" s="40" t="s">
        <v>134</v>
      </c>
      <c r="C29" s="38" t="s">
        <v>52</v>
      </c>
      <c r="D29" s="38" t="s">
        <v>108</v>
      </c>
      <c r="E29" s="38" t="s">
        <v>136</v>
      </c>
      <c r="F29" s="30">
        <v>1.0524740622505986</v>
      </c>
      <c r="G29" s="28">
        <v>86</v>
      </c>
      <c r="H29" s="28">
        <f>+G29*$B$1</f>
        <v>86</v>
      </c>
      <c r="I29" s="33">
        <f>+F29*G29</f>
        <v>90.512769353551477</v>
      </c>
      <c r="J29" s="33">
        <f>+F29*H29</f>
        <v>90.512769353551477</v>
      </c>
      <c r="K29" s="28">
        <v>140</v>
      </c>
      <c r="L29" s="28">
        <f>+K29*$B$1</f>
        <v>140</v>
      </c>
      <c r="M29" s="33">
        <f>+F29*K29</f>
        <v>147.3463687150838</v>
      </c>
      <c r="N29" s="33">
        <f>+F29*L29</f>
        <v>147.3463687150838</v>
      </c>
      <c r="O29" s="33"/>
      <c r="P29" s="32"/>
    </row>
    <row r="30" spans="1:16" s="36" customFormat="1" x14ac:dyDescent="0.3">
      <c r="A30" s="39"/>
      <c r="B30" s="40" t="s">
        <v>135</v>
      </c>
      <c r="C30" s="38" t="s">
        <v>52</v>
      </c>
      <c r="D30" s="38" t="s">
        <v>112</v>
      </c>
      <c r="E30" s="38" t="s">
        <v>137</v>
      </c>
      <c r="F30" s="30">
        <v>1.05</v>
      </c>
      <c r="G30" s="28">
        <v>49</v>
      </c>
      <c r="H30" s="28">
        <f>+G30*$B$1</f>
        <v>49</v>
      </c>
      <c r="I30" s="33">
        <f>+F30*G30</f>
        <v>51.45</v>
      </c>
      <c r="J30" s="33">
        <f>+F30*H30</f>
        <v>51.45</v>
      </c>
      <c r="K30" s="28">
        <v>81</v>
      </c>
      <c r="L30" s="28">
        <f>+K30*$B$1</f>
        <v>81</v>
      </c>
      <c r="M30" s="33">
        <f>+F30*K30</f>
        <v>85.05</v>
      </c>
      <c r="N30" s="33">
        <f>+F30*L30</f>
        <v>85.05</v>
      </c>
      <c r="O30" s="33"/>
      <c r="P30" s="32"/>
    </row>
    <row r="31" spans="1:16" s="36" customFormat="1" x14ac:dyDescent="0.3">
      <c r="A31" s="39"/>
      <c r="B31" s="40" t="s">
        <v>66</v>
      </c>
      <c r="C31" s="38" t="s">
        <v>53</v>
      </c>
      <c r="D31" s="38" t="s">
        <v>88</v>
      </c>
      <c r="E31" s="38" t="s">
        <v>111</v>
      </c>
      <c r="F31" s="30">
        <v>6.4844373503591388</v>
      </c>
      <c r="G31" s="28">
        <v>63</v>
      </c>
      <c r="H31" s="28">
        <f>+G31*$B$1</f>
        <v>63</v>
      </c>
      <c r="I31" s="33">
        <f>+F31*G31</f>
        <v>408.51955307262574</v>
      </c>
      <c r="J31" s="33">
        <f>+F31*H31</f>
        <v>408.51955307262574</v>
      </c>
      <c r="K31" s="28">
        <v>82</v>
      </c>
      <c r="L31" s="28">
        <f>+K31*$B$1</f>
        <v>82</v>
      </c>
      <c r="M31" s="33">
        <f>+F31*K31</f>
        <v>531.72386272944937</v>
      </c>
      <c r="N31" s="33">
        <f>+F31*L31</f>
        <v>531.72386272944937</v>
      </c>
      <c r="O31" s="33"/>
      <c r="P31" s="32"/>
    </row>
    <row r="32" spans="1:16" s="36" customFormat="1" x14ac:dyDescent="0.3">
      <c r="A32" s="39"/>
      <c r="B32" s="40" t="s">
        <v>67</v>
      </c>
      <c r="C32" s="38" t="s">
        <v>49</v>
      </c>
      <c r="D32" s="38" t="s">
        <v>89</v>
      </c>
      <c r="E32" s="38" t="s">
        <v>112</v>
      </c>
      <c r="F32" s="30">
        <v>11.422585794094175</v>
      </c>
      <c r="G32" s="28">
        <v>34</v>
      </c>
      <c r="H32" s="28">
        <f>+G32*$B$1</f>
        <v>34</v>
      </c>
      <c r="I32" s="33">
        <f>+F32*G32</f>
        <v>388.36791699920195</v>
      </c>
      <c r="J32" s="33">
        <f>+F32*H32</f>
        <v>388.36791699920195</v>
      </c>
      <c r="K32" s="28">
        <v>49</v>
      </c>
      <c r="L32" s="28">
        <f>+K32*$B$1</f>
        <v>49</v>
      </c>
      <c r="M32" s="33">
        <f>+F32*K32</f>
        <v>559.70670391061458</v>
      </c>
      <c r="N32" s="33">
        <f>+F32*L32</f>
        <v>559.70670391061458</v>
      </c>
      <c r="O32" s="33"/>
      <c r="P32" s="32"/>
    </row>
    <row r="33" spans="1:16" s="36" customFormat="1" x14ac:dyDescent="0.3">
      <c r="A33" s="39"/>
      <c r="B33" s="40" t="s">
        <v>15</v>
      </c>
      <c r="C33" s="32"/>
      <c r="D33" s="32"/>
      <c r="E33" s="32"/>
      <c r="F33" s="30"/>
      <c r="G33" s="28"/>
      <c r="H33" s="28"/>
      <c r="I33" s="33">
        <f>SUM(I29:I32)</f>
        <v>938.85023942537919</v>
      </c>
      <c r="J33" s="33">
        <f>SUM(J29:J32)</f>
        <v>938.85023942537919</v>
      </c>
      <c r="K33" s="28"/>
      <c r="L33" s="28"/>
      <c r="M33" s="33">
        <f>SUM(M29:M32)</f>
        <v>1323.8269353551477</v>
      </c>
      <c r="N33" s="33">
        <f>SUM(N29:N32)</f>
        <v>1323.8269353551477</v>
      </c>
      <c r="O33" s="33">
        <f>+I33-M33</f>
        <v>-384.97669592976854</v>
      </c>
      <c r="P33" s="33">
        <f>+J33-N33</f>
        <v>-384.97669592976854</v>
      </c>
    </row>
    <row r="34" spans="1:16" s="36" customFormat="1" ht="12" customHeight="1" x14ac:dyDescent="0.3">
      <c r="B34" s="37"/>
      <c r="C34" s="32"/>
      <c r="D34" s="32"/>
      <c r="E34" s="32"/>
      <c r="F34" s="30"/>
      <c r="G34" s="28"/>
      <c r="H34" s="28"/>
      <c r="I34" s="33"/>
      <c r="J34" s="33"/>
      <c r="K34" s="28"/>
      <c r="L34" s="28"/>
      <c r="M34" s="33"/>
      <c r="N34" s="33"/>
      <c r="O34" s="33"/>
      <c r="P34" s="32"/>
    </row>
    <row r="35" spans="1:16" s="36" customFormat="1" x14ac:dyDescent="0.3">
      <c r="A35" s="39" t="s">
        <v>16</v>
      </c>
      <c r="B35" s="40" t="s">
        <v>73</v>
      </c>
      <c r="C35" s="38" t="s">
        <v>58</v>
      </c>
      <c r="D35" s="38" t="s">
        <v>44</v>
      </c>
      <c r="E35" s="38" t="s">
        <v>113</v>
      </c>
      <c r="F35" s="30">
        <v>9.98</v>
      </c>
      <c r="G35" s="28">
        <v>14.7</v>
      </c>
      <c r="H35" s="28">
        <f>+G35*$B$1</f>
        <v>14.7</v>
      </c>
      <c r="I35" s="33">
        <f>+F35*G35</f>
        <v>146.70599999999999</v>
      </c>
      <c r="J35" s="33">
        <f>+F35*H35</f>
        <v>146.70599999999999</v>
      </c>
      <c r="K35" s="28">
        <v>12.7</v>
      </c>
      <c r="L35" s="28">
        <f>+K35*$B$1</f>
        <v>12.7</v>
      </c>
      <c r="M35" s="33">
        <f>+F35*K35</f>
        <v>126.746</v>
      </c>
      <c r="N35" s="33">
        <f>+F35*L35</f>
        <v>126.746</v>
      </c>
      <c r="O35" s="33">
        <f>+I35-M35</f>
        <v>19.959999999999994</v>
      </c>
      <c r="P35" s="33">
        <f>+J35-N35</f>
        <v>19.959999999999994</v>
      </c>
    </row>
    <row r="36" spans="1:16" s="36" customFormat="1" x14ac:dyDescent="0.3">
      <c r="A36" s="42"/>
      <c r="B36" s="43" t="s">
        <v>17</v>
      </c>
      <c r="C36" s="32"/>
      <c r="D36" s="32"/>
      <c r="E36" s="32"/>
      <c r="F36" s="31"/>
      <c r="G36" s="29"/>
      <c r="H36" s="29"/>
      <c r="I36" s="33">
        <f>+I5+I10+I15+I20+I27+I33+I35</f>
        <v>11357.264439744613</v>
      </c>
      <c r="J36" s="33">
        <f>+J5+J10+J15+J20+J27+J33+J35</f>
        <v>11357.264439744613</v>
      </c>
      <c r="K36" s="29"/>
      <c r="L36" s="29"/>
      <c r="M36" s="33">
        <f>+M5+M10+M15+M20+M27+M33+M35</f>
        <v>12658.514774940144</v>
      </c>
      <c r="N36" s="33">
        <f>+N5+N10+N15+N20+N27+N33+N35</f>
        <v>12658.514774940144</v>
      </c>
      <c r="O36" s="33">
        <f>+I36-M36</f>
        <v>-1301.2503351955311</v>
      </c>
      <c r="P36" s="33">
        <f>+J36-N36</f>
        <v>-1301.2503351955311</v>
      </c>
    </row>
    <row r="37" spans="1:16" s="36" customFormat="1" ht="12" customHeight="1" x14ac:dyDescent="0.3">
      <c r="B37" s="37"/>
      <c r="C37" s="32"/>
      <c r="D37" s="32"/>
      <c r="E37" s="32"/>
      <c r="F37" s="30"/>
      <c r="G37" s="28"/>
      <c r="H37" s="28"/>
      <c r="I37" s="33"/>
      <c r="J37" s="33"/>
      <c r="K37" s="28"/>
      <c r="L37" s="28"/>
      <c r="M37" s="33"/>
      <c r="N37" s="33"/>
      <c r="O37" s="33"/>
      <c r="P37" s="32"/>
    </row>
    <row r="38" spans="1:16" s="36" customFormat="1" x14ac:dyDescent="0.3">
      <c r="A38" s="39"/>
      <c r="B38" s="40" t="s">
        <v>18</v>
      </c>
      <c r="C38" s="32"/>
      <c r="D38" s="32"/>
      <c r="E38" s="32"/>
      <c r="F38" s="30"/>
      <c r="G38" s="28"/>
      <c r="H38" s="28"/>
      <c r="I38" s="33">
        <f>+I24+I26+I29+I30</f>
        <v>871.3272944932163</v>
      </c>
      <c r="J38" s="33">
        <f>+J24+J26+J29+J30</f>
        <v>871.3272944932163</v>
      </c>
      <c r="K38" s="28"/>
      <c r="L38" s="28"/>
      <c r="M38" s="33">
        <f>+M24+M26+M29</f>
        <v>494.83120510774143</v>
      </c>
      <c r="N38" s="33">
        <f>+N24+N26+N29</f>
        <v>494.83120510774143</v>
      </c>
      <c r="O38" s="33">
        <f t="shared" ref="O38:O43" si="0">+I38-M38</f>
        <v>376.49608938547487</v>
      </c>
      <c r="P38" s="33">
        <f t="shared" ref="P38:P43" si="1">+J38-N38</f>
        <v>376.49608938547487</v>
      </c>
    </row>
    <row r="39" spans="1:16" s="36" customFormat="1" x14ac:dyDescent="0.3">
      <c r="A39" s="39"/>
      <c r="B39" s="40" t="s">
        <v>19</v>
      </c>
      <c r="C39" s="32"/>
      <c r="D39" s="32"/>
      <c r="E39" s="32"/>
      <c r="F39" s="30"/>
      <c r="G39" s="44"/>
      <c r="H39" s="44"/>
      <c r="I39" s="33">
        <f>+I5+I7+I12+I17+I23+I25+I35</f>
        <v>7944.9701660015962</v>
      </c>
      <c r="J39" s="33">
        <f>+J5+J7+J12+J17+J23+J25+J35</f>
        <v>7944.9701660015962</v>
      </c>
      <c r="K39" s="28"/>
      <c r="L39" s="28"/>
      <c r="M39" s="33">
        <f>+M5+M7+M12+M17+M23+M25+M35</f>
        <v>8791.695122106943</v>
      </c>
      <c r="N39" s="33">
        <f>+N5+N7+N12+N17+N23+N25+N35</f>
        <v>8791.695122106943</v>
      </c>
      <c r="O39" s="33">
        <f t="shared" si="0"/>
        <v>-846.72495610534679</v>
      </c>
      <c r="P39" s="33">
        <f t="shared" si="1"/>
        <v>-846.72495610534679</v>
      </c>
    </row>
    <row r="40" spans="1:16" s="36" customFormat="1" x14ac:dyDescent="0.3">
      <c r="A40" s="39"/>
      <c r="B40" s="40" t="s">
        <v>20</v>
      </c>
      <c r="C40" s="32"/>
      <c r="D40" s="32"/>
      <c r="E40" s="32"/>
      <c r="F40" s="30"/>
      <c r="G40" s="28"/>
      <c r="H40" s="28"/>
      <c r="I40" s="33">
        <f>+I8+I13+I18</f>
        <v>744.61292897047088</v>
      </c>
      <c r="J40" s="33">
        <f>+J8+J13+J18</f>
        <v>744.61292897047088</v>
      </c>
      <c r="K40" s="28"/>
      <c r="L40" s="28"/>
      <c r="M40" s="33">
        <f>+M8+M13+M18</f>
        <v>1294.2138866719872</v>
      </c>
      <c r="N40" s="33">
        <f>+N8+N13+N18</f>
        <v>1294.2138866719872</v>
      </c>
      <c r="O40" s="33">
        <f t="shared" si="0"/>
        <v>-549.60095770151634</v>
      </c>
      <c r="P40" s="33">
        <f t="shared" si="1"/>
        <v>-549.60095770151634</v>
      </c>
    </row>
    <row r="41" spans="1:16" s="36" customFormat="1" x14ac:dyDescent="0.3">
      <c r="A41" s="39"/>
      <c r="B41" s="40" t="s">
        <v>21</v>
      </c>
      <c r="C41" s="32"/>
      <c r="D41" s="32"/>
      <c r="E41" s="32"/>
      <c r="F41" s="30"/>
      <c r="G41" s="28"/>
      <c r="H41" s="28"/>
      <c r="I41" s="33">
        <f>+I9+I14+I19</f>
        <v>999.46658020750192</v>
      </c>
      <c r="J41" s="33">
        <f>+J9+J14+J19</f>
        <v>999.46658020750192</v>
      </c>
      <c r="K41" s="28"/>
      <c r="L41" s="28"/>
      <c r="M41" s="33">
        <f>+M9+M14+M19</f>
        <v>901.29399441340775</v>
      </c>
      <c r="N41" s="33">
        <f>+N9+N14+N19</f>
        <v>901.29399441340775</v>
      </c>
      <c r="O41" s="33">
        <f t="shared" si="0"/>
        <v>98.172585794094175</v>
      </c>
      <c r="P41" s="33">
        <f t="shared" si="1"/>
        <v>98.172585794094175</v>
      </c>
    </row>
    <row r="42" spans="1:16" s="36" customFormat="1" x14ac:dyDescent="0.3">
      <c r="A42" s="39"/>
      <c r="B42" s="40" t="s">
        <v>22</v>
      </c>
      <c r="C42" s="32"/>
      <c r="D42" s="32"/>
      <c r="E42" s="32"/>
      <c r="F42" s="30"/>
      <c r="G42" s="28"/>
      <c r="H42" s="28"/>
      <c r="I42" s="33">
        <f>+I31+I32</f>
        <v>796.88747007182769</v>
      </c>
      <c r="J42" s="33">
        <f>+J31+J32</f>
        <v>796.88747007182769</v>
      </c>
      <c r="K42" s="28"/>
      <c r="L42" s="28"/>
      <c r="M42" s="33">
        <f>+M31+M32</f>
        <v>1091.4305666400639</v>
      </c>
      <c r="N42" s="33">
        <f>+N31+N32</f>
        <v>1091.4305666400639</v>
      </c>
      <c r="O42" s="33">
        <f t="shared" si="0"/>
        <v>-294.54309656823625</v>
      </c>
      <c r="P42" s="33">
        <f t="shared" si="1"/>
        <v>-294.54309656823625</v>
      </c>
    </row>
    <row r="43" spans="1:16" s="36" customFormat="1" x14ac:dyDescent="0.3">
      <c r="A43" s="42"/>
      <c r="B43" s="43" t="s">
        <v>17</v>
      </c>
      <c r="C43" s="32"/>
      <c r="D43" s="32"/>
      <c r="E43" s="32"/>
      <c r="F43" s="31"/>
      <c r="G43" s="29"/>
      <c r="H43" s="29"/>
      <c r="I43" s="33">
        <f>SUM(I38:I42)</f>
        <v>11357.264439744613</v>
      </c>
      <c r="J43" s="33">
        <f>SUM(J38:J42)</f>
        <v>11357.264439744613</v>
      </c>
      <c r="K43" s="29"/>
      <c r="L43" s="29"/>
      <c r="M43" s="33">
        <f>SUM(M38:M42)</f>
        <v>12573.464774940143</v>
      </c>
      <c r="N43" s="33">
        <f>+M43*$B$1</f>
        <v>12573.464774940143</v>
      </c>
      <c r="O43" s="33">
        <f t="shared" si="0"/>
        <v>-1216.20033519553</v>
      </c>
      <c r="P43" s="33">
        <f t="shared" si="1"/>
        <v>-1216.20033519553</v>
      </c>
    </row>
    <row r="44" spans="1:16" s="36" customFormat="1" ht="12" customHeight="1" x14ac:dyDescent="0.3">
      <c r="B44" s="37"/>
      <c r="C44" s="32"/>
      <c r="D44" s="32"/>
      <c r="E44" s="32"/>
      <c r="F44" s="30"/>
      <c r="G44" s="28"/>
      <c r="H44" s="28"/>
      <c r="I44" s="33"/>
      <c r="J44" s="33"/>
      <c r="K44" s="28"/>
      <c r="L44" s="28"/>
      <c r="M44" s="33"/>
      <c r="N44" s="33"/>
      <c r="O44" s="33"/>
      <c r="P44" s="32"/>
    </row>
    <row r="45" spans="1:16" s="36" customFormat="1" ht="14.4" x14ac:dyDescent="0.3">
      <c r="A45" s="70" t="s">
        <v>23</v>
      </c>
      <c r="B45" s="71"/>
      <c r="C45" s="32"/>
      <c r="D45" s="32"/>
      <c r="E45" s="32"/>
      <c r="F45" s="30"/>
      <c r="G45" s="28"/>
      <c r="H45" s="28"/>
      <c r="I45" s="33"/>
      <c r="J45" s="33"/>
      <c r="K45" s="28"/>
      <c r="L45" s="28"/>
      <c r="M45" s="33"/>
      <c r="N45" s="33"/>
      <c r="O45" s="33"/>
      <c r="P45" s="32"/>
    </row>
    <row r="46" spans="1:16" s="36" customFormat="1" x14ac:dyDescent="0.3">
      <c r="A46" s="39" t="s">
        <v>24</v>
      </c>
      <c r="B46" s="40" t="s">
        <v>65</v>
      </c>
      <c r="C46" s="38" t="s">
        <v>54</v>
      </c>
      <c r="D46" s="38" t="s">
        <v>90</v>
      </c>
      <c r="E46" s="38" t="s">
        <v>114</v>
      </c>
      <c r="F46" s="30">
        <v>1.5462889066241023</v>
      </c>
      <c r="G46" s="28">
        <v>176</v>
      </c>
      <c r="H46" s="28">
        <f>+G46*$B$1</f>
        <v>176</v>
      </c>
      <c r="I46" s="33">
        <f>+F46*G46</f>
        <v>272.14684756584199</v>
      </c>
      <c r="J46" s="33">
        <f>+F46*H46</f>
        <v>272.14684756584199</v>
      </c>
      <c r="K46" s="28">
        <v>311</v>
      </c>
      <c r="L46" s="28">
        <f>+K46*$B$1</f>
        <v>311</v>
      </c>
      <c r="M46" s="33">
        <f>+F46*K46</f>
        <v>480.8958499600958</v>
      </c>
      <c r="N46" s="33">
        <f>+F46*L46</f>
        <v>480.8958499600958</v>
      </c>
      <c r="O46" s="33"/>
      <c r="P46" s="32"/>
    </row>
    <row r="47" spans="1:16" s="36" customFormat="1" x14ac:dyDescent="0.3">
      <c r="A47" s="39"/>
      <c r="B47" s="40" t="s">
        <v>68</v>
      </c>
      <c r="C47" s="38" t="s">
        <v>55</v>
      </c>
      <c r="D47" s="38" t="s">
        <v>87</v>
      </c>
      <c r="E47" s="38" t="s">
        <v>115</v>
      </c>
      <c r="F47" s="30">
        <v>2.4940143655227457E-2</v>
      </c>
      <c r="G47" s="28">
        <f>+G50</f>
        <v>4040</v>
      </c>
      <c r="H47" s="28">
        <f>+G47*$B$1</f>
        <v>4040</v>
      </c>
      <c r="I47" s="33">
        <f>+F47*G47</f>
        <v>100.75818036711892</v>
      </c>
      <c r="J47" s="33">
        <f>+F47*H47</f>
        <v>100.75818036711892</v>
      </c>
      <c r="K47" s="28">
        <f>+K50</f>
        <v>4220</v>
      </c>
      <c r="L47" s="28">
        <f>+K47*$B$1</f>
        <v>4220</v>
      </c>
      <c r="M47" s="33">
        <f>+F47*K47</f>
        <v>105.24740622505986</v>
      </c>
      <c r="N47" s="33">
        <f>+F47*L47</f>
        <v>105.24740622505986</v>
      </c>
      <c r="O47" s="33"/>
      <c r="P47" s="32"/>
    </row>
    <row r="48" spans="1:16" s="36" customFormat="1" x14ac:dyDescent="0.3">
      <c r="A48" s="39"/>
      <c r="B48" s="40" t="s">
        <v>25</v>
      </c>
      <c r="C48" s="32"/>
      <c r="D48" s="32"/>
      <c r="E48" s="32"/>
      <c r="F48" s="30"/>
      <c r="G48" s="28"/>
      <c r="H48" s="28"/>
      <c r="I48" s="33">
        <f>SUM(I46:I47)</f>
        <v>372.90502793296093</v>
      </c>
      <c r="J48" s="33">
        <f>SUM(J46:J47)</f>
        <v>372.90502793296093</v>
      </c>
      <c r="K48" s="28"/>
      <c r="L48" s="28"/>
      <c r="M48" s="33">
        <f>SUM(M46:M47)</f>
        <v>586.14325618515568</v>
      </c>
      <c r="N48" s="33">
        <f>SUM(N46:N47)</f>
        <v>586.14325618515568</v>
      </c>
      <c r="O48" s="33">
        <f>+I48-M48</f>
        <v>-213.23822825219474</v>
      </c>
      <c r="P48" s="33">
        <f>+J48-N48</f>
        <v>-213.23822825219474</v>
      </c>
    </row>
    <row r="49" spans="1:16" s="36" customFormat="1" ht="12" customHeight="1" x14ac:dyDescent="0.3">
      <c r="B49" s="37"/>
      <c r="C49" s="32"/>
      <c r="D49" s="32"/>
      <c r="E49" s="32"/>
      <c r="F49" s="30"/>
      <c r="G49" s="28"/>
      <c r="H49" s="28"/>
      <c r="I49" s="33"/>
      <c r="J49" s="33"/>
      <c r="K49" s="28"/>
      <c r="L49" s="28"/>
      <c r="M49" s="33"/>
      <c r="N49" s="33"/>
      <c r="O49" s="33"/>
      <c r="P49" s="32"/>
    </row>
    <row r="50" spans="1:16" s="36" customFormat="1" x14ac:dyDescent="0.3">
      <c r="A50" s="66" t="s">
        <v>48</v>
      </c>
      <c r="B50" s="40" t="s">
        <v>69</v>
      </c>
      <c r="C50" s="38" t="s">
        <v>125</v>
      </c>
      <c r="D50" s="38" t="s">
        <v>87</v>
      </c>
      <c r="E50" s="38" t="s">
        <v>115</v>
      </c>
      <c r="F50" s="30">
        <v>0.3741021548284118</v>
      </c>
      <c r="G50" s="27">
        <f>+Dados!B10</f>
        <v>4040</v>
      </c>
      <c r="H50" s="27">
        <f>+G50*$B$1</f>
        <v>4040</v>
      </c>
      <c r="I50" s="33">
        <f>+F50*G50</f>
        <v>1511.3727055067836</v>
      </c>
      <c r="J50" s="33">
        <f>+F50*H50</f>
        <v>1511.3727055067836</v>
      </c>
      <c r="K50" s="27">
        <f>+Dados!C10</f>
        <v>4220</v>
      </c>
      <c r="L50" s="27">
        <f>+K50*$B$1</f>
        <v>4220</v>
      </c>
      <c r="M50" s="33">
        <f>+F50*K50</f>
        <v>1578.7110933758979</v>
      </c>
      <c r="N50" s="33">
        <f>+F50*L50</f>
        <v>1578.7110933758979</v>
      </c>
      <c r="O50" s="33"/>
      <c r="P50" s="32"/>
    </row>
    <row r="51" spans="1:16" s="36" customFormat="1" x14ac:dyDescent="0.3">
      <c r="A51" s="67"/>
      <c r="B51" s="40" t="s">
        <v>65</v>
      </c>
      <c r="C51" s="38" t="s">
        <v>54</v>
      </c>
      <c r="D51" s="38" t="s">
        <v>90</v>
      </c>
      <c r="E51" s="38" t="s">
        <v>110</v>
      </c>
      <c r="F51" s="30">
        <v>1.0524740622505986</v>
      </c>
      <c r="G51" s="28">
        <v>179</v>
      </c>
      <c r="H51" s="28">
        <f>+G51*$B$1</f>
        <v>179</v>
      </c>
      <c r="I51" s="33">
        <f>+F51*G51</f>
        <v>188.39285714285714</v>
      </c>
      <c r="J51" s="33">
        <f>+F51*H51</f>
        <v>188.39285714285714</v>
      </c>
      <c r="K51" s="28">
        <v>223</v>
      </c>
      <c r="L51" s="28">
        <f>+K51*$B$1</f>
        <v>223</v>
      </c>
      <c r="M51" s="33">
        <f>+F51*K51</f>
        <v>234.70171588188347</v>
      </c>
      <c r="N51" s="33">
        <f>+F51*L51</f>
        <v>234.70171588188347</v>
      </c>
      <c r="O51" s="33"/>
      <c r="P51" s="32"/>
    </row>
    <row r="52" spans="1:16" s="36" customFormat="1" x14ac:dyDescent="0.3">
      <c r="A52" s="67"/>
      <c r="B52" s="40" t="s">
        <v>26</v>
      </c>
      <c r="C52" s="32"/>
      <c r="D52" s="32"/>
      <c r="E52" s="32"/>
      <c r="F52" s="30"/>
      <c r="G52" s="28"/>
      <c r="H52" s="28"/>
      <c r="I52" s="33">
        <f>SUM(I50:I51)</f>
        <v>1699.7655626496407</v>
      </c>
      <c r="J52" s="33">
        <f>SUM(J50:J51)</f>
        <v>1699.7655626496407</v>
      </c>
      <c r="K52" s="28"/>
      <c r="L52" s="28"/>
      <c r="M52" s="33">
        <f>SUM(M50:M51)</f>
        <v>1813.4128092577814</v>
      </c>
      <c r="N52" s="33">
        <f>SUM(N50:N51)</f>
        <v>1813.4128092577814</v>
      </c>
      <c r="O52" s="33">
        <f>+I52-M52</f>
        <v>-113.64724660814068</v>
      </c>
      <c r="P52" s="33">
        <f>+J52-N52</f>
        <v>-113.64724660814068</v>
      </c>
    </row>
    <row r="53" spans="1:16" s="36" customFormat="1" ht="12" customHeight="1" x14ac:dyDescent="0.3">
      <c r="B53" s="37"/>
      <c r="C53" s="32"/>
      <c r="D53" s="32"/>
      <c r="E53" s="32"/>
      <c r="F53" s="30"/>
      <c r="G53" s="28"/>
      <c r="H53" s="28"/>
      <c r="I53" s="33"/>
      <c r="J53" s="33"/>
      <c r="K53" s="28"/>
      <c r="L53" s="28"/>
      <c r="M53" s="33"/>
      <c r="N53" s="33"/>
      <c r="O53" s="33"/>
      <c r="P53" s="32"/>
    </row>
    <row r="54" spans="1:16" s="36" customFormat="1" x14ac:dyDescent="0.3">
      <c r="A54" s="39" t="s">
        <v>27</v>
      </c>
      <c r="B54" s="40" t="s">
        <v>70</v>
      </c>
      <c r="C54" s="38" t="s">
        <v>126</v>
      </c>
      <c r="D54" s="38" t="s">
        <v>91</v>
      </c>
      <c r="E54" s="38" t="s">
        <v>116</v>
      </c>
      <c r="F54" s="30">
        <v>0.64844373503591379</v>
      </c>
      <c r="G54" s="28">
        <v>395</v>
      </c>
      <c r="H54" s="28">
        <f>+G54*$B$1</f>
        <v>395</v>
      </c>
      <c r="I54" s="33">
        <f>+F54*G54</f>
        <v>256.13527533918597</v>
      </c>
      <c r="J54" s="33">
        <f>+F54*H54</f>
        <v>256.13527533918597</v>
      </c>
      <c r="K54" s="28">
        <v>696</v>
      </c>
      <c r="L54" s="28">
        <f>+K54*$B$1</f>
        <v>696</v>
      </c>
      <c r="M54" s="33">
        <f>+F54*K54</f>
        <v>451.31683958499599</v>
      </c>
      <c r="N54" s="33">
        <f>+F54*L54</f>
        <v>451.31683958499599</v>
      </c>
      <c r="O54" s="33"/>
      <c r="P54" s="32"/>
    </row>
    <row r="55" spans="1:16" s="36" customFormat="1" x14ac:dyDescent="0.3">
      <c r="A55" s="39"/>
      <c r="B55" s="40" t="s">
        <v>71</v>
      </c>
      <c r="C55" s="38" t="s">
        <v>56</v>
      </c>
      <c r="D55" s="38" t="s">
        <v>92</v>
      </c>
      <c r="E55" s="38" t="s">
        <v>117</v>
      </c>
      <c r="F55" s="30">
        <v>3.741021548284118E-2</v>
      </c>
      <c r="G55" s="28">
        <v>3035</v>
      </c>
      <c r="H55" s="28">
        <f>+G55*$B$1</f>
        <v>3035</v>
      </c>
      <c r="I55" s="33">
        <f>+F55*G55</f>
        <v>113.54000399042299</v>
      </c>
      <c r="J55" s="33">
        <f>+F55*H55</f>
        <v>113.54000399042299</v>
      </c>
      <c r="K55" s="28">
        <v>2901</v>
      </c>
      <c r="L55" s="28">
        <f>+K55*$B$1</f>
        <v>2901</v>
      </c>
      <c r="M55" s="33">
        <f>+F55*K55</f>
        <v>108.52703511572227</v>
      </c>
      <c r="N55" s="33">
        <f>+F55*L55</f>
        <v>108.52703511572227</v>
      </c>
      <c r="O55" s="33"/>
      <c r="P55" s="32"/>
    </row>
    <row r="56" spans="1:16" s="36" customFormat="1" x14ac:dyDescent="0.3">
      <c r="A56" s="39"/>
      <c r="B56" s="40" t="s">
        <v>72</v>
      </c>
      <c r="C56" s="38" t="s">
        <v>57</v>
      </c>
      <c r="D56" s="38" t="s">
        <v>93</v>
      </c>
      <c r="E56" s="38" t="s">
        <v>118</v>
      </c>
      <c r="F56" s="30">
        <v>0.67338387869114125</v>
      </c>
      <c r="G56" s="28">
        <v>759</v>
      </c>
      <c r="H56" s="28">
        <f>+G56*$B$1</f>
        <v>759</v>
      </c>
      <c r="I56" s="33">
        <f>+F56*G56</f>
        <v>511.09836392657621</v>
      </c>
      <c r="J56" s="33">
        <f>+F56*H56</f>
        <v>511.09836392657621</v>
      </c>
      <c r="K56" s="28">
        <v>725</v>
      </c>
      <c r="L56" s="28">
        <f>+K56*$B$1</f>
        <v>725</v>
      </c>
      <c r="M56" s="33">
        <f>+F56*K56</f>
        <v>488.20331205107738</v>
      </c>
      <c r="N56" s="33">
        <f>+F56*L56</f>
        <v>488.20331205107738</v>
      </c>
      <c r="O56" s="33"/>
      <c r="P56" s="32"/>
    </row>
    <row r="57" spans="1:16" s="36" customFormat="1" x14ac:dyDescent="0.3">
      <c r="A57" s="39"/>
      <c r="B57" s="40" t="s">
        <v>65</v>
      </c>
      <c r="C57" s="38" t="s">
        <v>127</v>
      </c>
      <c r="D57" s="38" t="s">
        <v>87</v>
      </c>
      <c r="E57" s="38" t="s">
        <v>119</v>
      </c>
      <c r="F57" s="30">
        <v>1.5462889066241023</v>
      </c>
      <c r="G57" s="28">
        <v>320</v>
      </c>
      <c r="H57" s="28">
        <f>+G57*$B$1</f>
        <v>320</v>
      </c>
      <c r="I57" s="33">
        <f>+F57*G57</f>
        <v>494.81245011971276</v>
      </c>
      <c r="J57" s="33">
        <f>+F57*H57</f>
        <v>494.81245011971276</v>
      </c>
      <c r="K57" s="28">
        <v>266</v>
      </c>
      <c r="L57" s="28">
        <f>+K57*$B$1</f>
        <v>266</v>
      </c>
      <c r="M57" s="33">
        <f>+F57*K57</f>
        <v>411.31284916201122</v>
      </c>
      <c r="N57" s="33">
        <f>+F57*L57</f>
        <v>411.31284916201122</v>
      </c>
      <c r="O57" s="33"/>
      <c r="P57" s="32"/>
    </row>
    <row r="58" spans="1:16" s="36" customFormat="1" x14ac:dyDescent="0.3">
      <c r="A58" s="39"/>
      <c r="B58" s="40" t="s">
        <v>28</v>
      </c>
      <c r="C58" s="32"/>
      <c r="D58" s="32"/>
      <c r="E58" s="32"/>
      <c r="F58" s="30"/>
      <c r="G58" s="28"/>
      <c r="H58" s="28"/>
      <c r="I58" s="33">
        <f>SUM(I54:I57)</f>
        <v>1375.5860933758979</v>
      </c>
      <c r="J58" s="33">
        <f>SUM(J54:J57)</f>
        <v>1375.5860933758979</v>
      </c>
      <c r="K58" s="28"/>
      <c r="L58" s="28"/>
      <c r="M58" s="33">
        <f>SUM(M54:M57)</f>
        <v>1459.3600359138068</v>
      </c>
      <c r="N58" s="33">
        <f>SUM(N54:N57)</f>
        <v>1459.3600359138068</v>
      </c>
      <c r="O58" s="33">
        <f>+I58-M58</f>
        <v>-83.773942537908852</v>
      </c>
      <c r="P58" s="33">
        <f>+J58-N58</f>
        <v>-83.773942537908852</v>
      </c>
    </row>
    <row r="59" spans="1:16" s="36" customFormat="1" ht="12" customHeight="1" x14ac:dyDescent="0.3">
      <c r="B59" s="37"/>
      <c r="C59" s="32"/>
      <c r="D59" s="32"/>
      <c r="E59" s="32"/>
      <c r="F59" s="30"/>
      <c r="G59" s="28"/>
      <c r="H59" s="28"/>
      <c r="I59" s="33"/>
      <c r="J59" s="33"/>
      <c r="K59" s="28"/>
      <c r="L59" s="28"/>
      <c r="M59" s="33"/>
      <c r="N59" s="33"/>
      <c r="O59" s="33"/>
      <c r="P59" s="32"/>
    </row>
    <row r="60" spans="1:16" s="36" customFormat="1" x14ac:dyDescent="0.3">
      <c r="A60" s="39" t="s">
        <v>29</v>
      </c>
      <c r="B60" s="40" t="s">
        <v>65</v>
      </c>
      <c r="C60" s="38" t="s">
        <v>54</v>
      </c>
      <c r="D60" s="38" t="s">
        <v>94</v>
      </c>
      <c r="E60" s="38" t="s">
        <v>110</v>
      </c>
      <c r="F60" s="30">
        <v>1.0524740622505986</v>
      </c>
      <c r="G60" s="28">
        <v>111</v>
      </c>
      <c r="H60" s="28">
        <f>+G60*$B$1</f>
        <v>111</v>
      </c>
      <c r="I60" s="33">
        <f>+F60*G60</f>
        <v>116.82462090981645</v>
      </c>
      <c r="J60" s="33">
        <f>+F60*H60</f>
        <v>116.82462090981645</v>
      </c>
      <c r="K60" s="28">
        <v>223</v>
      </c>
      <c r="L60" s="28">
        <f>+K60*$B$1</f>
        <v>223</v>
      </c>
      <c r="M60" s="33">
        <f>+F60*K60</f>
        <v>234.70171588188347</v>
      </c>
      <c r="N60" s="33">
        <f>+F60*L60</f>
        <v>234.70171588188347</v>
      </c>
      <c r="O60" s="33"/>
      <c r="P60" s="32"/>
    </row>
    <row r="61" spans="1:16" s="36" customFormat="1" x14ac:dyDescent="0.3">
      <c r="A61" s="39"/>
      <c r="B61" s="40" t="s">
        <v>73</v>
      </c>
      <c r="C61" s="38" t="s">
        <v>58</v>
      </c>
      <c r="D61" s="38" t="s">
        <v>95</v>
      </c>
      <c r="E61" s="38" t="s">
        <v>95</v>
      </c>
      <c r="F61" s="30">
        <v>9.9760574620909814</v>
      </c>
      <c r="G61" s="28">
        <v>25</v>
      </c>
      <c r="H61" s="28">
        <f>+G61*$B$1</f>
        <v>25</v>
      </c>
      <c r="I61" s="33">
        <f>+F61*G61</f>
        <v>249.40143655227453</v>
      </c>
      <c r="J61" s="33">
        <f>+F61*H61</f>
        <v>249.40143655227453</v>
      </c>
      <c r="K61" s="28">
        <v>26</v>
      </c>
      <c r="L61" s="28">
        <f>+K61*$B$1</f>
        <v>26</v>
      </c>
      <c r="M61" s="33">
        <f>+F61*K61</f>
        <v>259.37749401436554</v>
      </c>
      <c r="N61" s="33">
        <f>+F61*L61</f>
        <v>259.37749401436554</v>
      </c>
      <c r="O61" s="33"/>
      <c r="P61" s="32"/>
    </row>
    <row r="62" spans="1:16" s="36" customFormat="1" x14ac:dyDescent="0.3">
      <c r="A62" s="39"/>
      <c r="B62" s="40" t="s">
        <v>30</v>
      </c>
      <c r="C62" s="32"/>
      <c r="D62" s="32"/>
      <c r="E62" s="32"/>
      <c r="F62" s="30"/>
      <c r="G62" s="28"/>
      <c r="H62" s="28"/>
      <c r="I62" s="33">
        <f>SUM(I60:I61)</f>
        <v>366.22605746209098</v>
      </c>
      <c r="J62" s="33">
        <f>SUM(J60:J61)</f>
        <v>366.22605746209098</v>
      </c>
      <c r="K62" s="28"/>
      <c r="L62" s="28"/>
      <c r="M62" s="33">
        <f>SUM(M60:M61)</f>
        <v>494.07920989624904</v>
      </c>
      <c r="N62" s="33">
        <f>SUM(N60:N61)</f>
        <v>494.07920989624904</v>
      </c>
      <c r="O62" s="33">
        <f>+I62-M62</f>
        <v>-127.85315243415806</v>
      </c>
      <c r="P62" s="33">
        <f>+J62-N62</f>
        <v>-127.85315243415806</v>
      </c>
    </row>
    <row r="63" spans="1:16" s="36" customFormat="1" ht="12" customHeight="1" x14ac:dyDescent="0.3">
      <c r="B63" s="37"/>
      <c r="C63" s="32"/>
      <c r="D63" s="32"/>
      <c r="E63" s="32"/>
      <c r="F63" s="30"/>
      <c r="G63" s="28"/>
      <c r="H63" s="28"/>
      <c r="I63" s="33"/>
      <c r="J63" s="33"/>
      <c r="K63" s="28"/>
      <c r="L63" s="28"/>
      <c r="M63" s="33"/>
      <c r="N63" s="33"/>
      <c r="O63" s="33"/>
      <c r="P63" s="32"/>
    </row>
    <row r="64" spans="1:16" s="36" customFormat="1" x14ac:dyDescent="0.3">
      <c r="A64" s="39" t="s">
        <v>31</v>
      </c>
      <c r="B64" s="40" t="s">
        <v>74</v>
      </c>
      <c r="C64" s="38" t="s">
        <v>59</v>
      </c>
      <c r="D64" s="38" t="s">
        <v>96</v>
      </c>
      <c r="E64" s="38" t="s">
        <v>94</v>
      </c>
      <c r="F64" s="30">
        <v>1.9952114924181965</v>
      </c>
      <c r="G64" s="28">
        <v>63</v>
      </c>
      <c r="H64" s="28">
        <f>+G64*$B$1</f>
        <v>63</v>
      </c>
      <c r="I64" s="33">
        <f>+F64*G64</f>
        <v>125.69832402234638</v>
      </c>
      <c r="J64" s="33">
        <f>+F64*H64</f>
        <v>125.69832402234638</v>
      </c>
      <c r="K64" s="28">
        <v>110</v>
      </c>
      <c r="L64" s="28">
        <f>+K64*$B$1</f>
        <v>110</v>
      </c>
      <c r="M64" s="33">
        <f>+F64*K64</f>
        <v>219.47326416600163</v>
      </c>
      <c r="N64" s="33">
        <f>+F64*L64</f>
        <v>219.47326416600163</v>
      </c>
      <c r="O64" s="33"/>
      <c r="P64" s="32"/>
    </row>
    <row r="65" spans="1:16" s="36" customFormat="1" x14ac:dyDescent="0.3">
      <c r="A65" s="39"/>
      <c r="B65" s="40" t="s">
        <v>65</v>
      </c>
      <c r="C65" s="38" t="s">
        <v>54</v>
      </c>
      <c r="D65" s="38" t="s">
        <v>97</v>
      </c>
      <c r="E65" s="38" t="s">
        <v>90</v>
      </c>
      <c r="F65" s="30">
        <v>1.0524740622505986</v>
      </c>
      <c r="G65" s="28">
        <v>114</v>
      </c>
      <c r="H65" s="28">
        <f>+G65*$B$1</f>
        <v>114</v>
      </c>
      <c r="I65" s="33">
        <f>+F65*G65</f>
        <v>119.98204309656823</v>
      </c>
      <c r="J65" s="33">
        <f>+F65*H65</f>
        <v>119.98204309656823</v>
      </c>
      <c r="K65" s="28">
        <v>177</v>
      </c>
      <c r="L65" s="28">
        <f>+K65*$B$1</f>
        <v>177</v>
      </c>
      <c r="M65" s="33">
        <f>+F65*K65</f>
        <v>186.28790901835595</v>
      </c>
      <c r="N65" s="33">
        <f>+F65*L65</f>
        <v>186.28790901835595</v>
      </c>
      <c r="O65" s="33"/>
      <c r="P65" s="32"/>
    </row>
    <row r="66" spans="1:16" s="36" customFormat="1" x14ac:dyDescent="0.3">
      <c r="A66" s="39"/>
      <c r="B66" s="40" t="s">
        <v>75</v>
      </c>
      <c r="C66" s="38" t="s">
        <v>61</v>
      </c>
      <c r="D66" s="38" t="s">
        <v>98</v>
      </c>
      <c r="E66" s="38" t="s">
        <v>120</v>
      </c>
      <c r="F66" s="30">
        <v>2.5937749401436554E-2</v>
      </c>
      <c r="G66" s="28">
        <v>2652</v>
      </c>
      <c r="H66" s="28">
        <f>+G66*$B$1</f>
        <v>2652</v>
      </c>
      <c r="I66" s="33">
        <f>+F66*G66</f>
        <v>68.78691141260974</v>
      </c>
      <c r="J66" s="33">
        <f>+F66*H66</f>
        <v>68.78691141260974</v>
      </c>
      <c r="K66" s="28">
        <v>3943</v>
      </c>
      <c r="L66" s="28">
        <f>+K66*$B$1</f>
        <v>3943</v>
      </c>
      <c r="M66" s="33">
        <f>+F66*K66</f>
        <v>102.27254588986433</v>
      </c>
      <c r="N66" s="33">
        <f>+F66*L66</f>
        <v>102.27254588986433</v>
      </c>
      <c r="O66" s="33"/>
      <c r="P66" s="32"/>
    </row>
    <row r="67" spans="1:16" s="36" customFormat="1" x14ac:dyDescent="0.3">
      <c r="A67" s="39"/>
      <c r="B67" s="40" t="s">
        <v>76</v>
      </c>
      <c r="C67" s="38" t="s">
        <v>60</v>
      </c>
      <c r="D67" s="38" t="s">
        <v>98</v>
      </c>
      <c r="E67" s="38" t="s">
        <v>120</v>
      </c>
      <c r="F67" s="30">
        <v>7.9808459696727854E-2</v>
      </c>
      <c r="G67" s="28">
        <v>2652</v>
      </c>
      <c r="H67" s="28">
        <f>+G67*$B$1</f>
        <v>2652</v>
      </c>
      <c r="I67" s="33">
        <f>+F67*G67</f>
        <v>211.65203511572227</v>
      </c>
      <c r="J67" s="33">
        <f>+F67*H67</f>
        <v>211.65203511572227</v>
      </c>
      <c r="K67" s="28">
        <v>3943</v>
      </c>
      <c r="L67" s="28">
        <f>+K67*$B$1</f>
        <v>3943</v>
      </c>
      <c r="M67" s="33">
        <f>+F67*K67</f>
        <v>314.68475658419794</v>
      </c>
      <c r="N67" s="33">
        <f>+F67*L67</f>
        <v>314.68475658419794</v>
      </c>
      <c r="O67" s="33"/>
      <c r="P67" s="32"/>
    </row>
    <row r="68" spans="1:16" s="36" customFormat="1" x14ac:dyDescent="0.3">
      <c r="A68" s="39"/>
      <c r="B68" s="40" t="s">
        <v>32</v>
      </c>
      <c r="C68" s="32"/>
      <c r="D68" s="32"/>
      <c r="E68" s="32"/>
      <c r="F68" s="30"/>
      <c r="G68" s="28"/>
      <c r="H68" s="28"/>
      <c r="I68" s="33">
        <f>SUM(I64:I67)</f>
        <v>526.1193136472466</v>
      </c>
      <c r="J68" s="33">
        <f>SUM(J64:J67)</f>
        <v>526.1193136472466</v>
      </c>
      <c r="K68" s="28"/>
      <c r="L68" s="28"/>
      <c r="M68" s="33">
        <f>SUM(M64:M67)</f>
        <v>822.71847565841983</v>
      </c>
      <c r="N68" s="33">
        <f>SUM(N64:N67)</f>
        <v>822.71847565841983</v>
      </c>
      <c r="O68" s="33">
        <f>+I68-M68</f>
        <v>-296.59916201117323</v>
      </c>
      <c r="P68" s="33">
        <f>+J68-N68</f>
        <v>-296.59916201117323</v>
      </c>
    </row>
    <row r="69" spans="1:16" s="36" customFormat="1" ht="12" customHeight="1" x14ac:dyDescent="0.3">
      <c r="B69" s="37"/>
      <c r="C69" s="32"/>
      <c r="D69" s="32"/>
      <c r="E69" s="32"/>
      <c r="F69" s="30"/>
      <c r="G69" s="28"/>
      <c r="H69" s="28"/>
      <c r="I69" s="33"/>
      <c r="J69" s="33"/>
      <c r="K69" s="28"/>
      <c r="L69" s="28"/>
      <c r="M69" s="33"/>
      <c r="N69" s="33"/>
      <c r="O69" s="33"/>
      <c r="P69" s="32"/>
    </row>
    <row r="70" spans="1:16" s="36" customFormat="1" x14ac:dyDescent="0.3">
      <c r="A70" s="39" t="s">
        <v>33</v>
      </c>
      <c r="B70" s="40" t="s">
        <v>74</v>
      </c>
      <c r="C70" s="38" t="s">
        <v>59</v>
      </c>
      <c r="D70" s="38" t="s">
        <v>121</v>
      </c>
      <c r="E70" s="38" t="s">
        <v>121</v>
      </c>
      <c r="F70" s="30">
        <v>1.9952114924181965</v>
      </c>
      <c r="G70" s="28">
        <v>10</v>
      </c>
      <c r="H70" s="28">
        <f>+G70*$B$1</f>
        <v>10</v>
      </c>
      <c r="I70" s="33">
        <f>+F70*G70</f>
        <v>19.952114924181966</v>
      </c>
      <c r="J70" s="33">
        <f>+F70*H70</f>
        <v>19.952114924181966</v>
      </c>
      <c r="K70" s="28">
        <v>10</v>
      </c>
      <c r="L70" s="28">
        <f>+K70*$B$1</f>
        <v>10</v>
      </c>
      <c r="M70" s="33">
        <f>+F70*K70</f>
        <v>19.952114924181966</v>
      </c>
      <c r="N70" s="33">
        <f>+F70*L70</f>
        <v>19.952114924181966</v>
      </c>
      <c r="O70" s="33"/>
      <c r="P70" s="32"/>
    </row>
    <row r="71" spans="1:16" s="36" customFormat="1" x14ac:dyDescent="0.3">
      <c r="A71" s="39"/>
      <c r="B71" s="40" t="s">
        <v>65</v>
      </c>
      <c r="C71" s="38" t="s">
        <v>54</v>
      </c>
      <c r="D71" s="38" t="s">
        <v>100</v>
      </c>
      <c r="E71" s="38" t="s">
        <v>99</v>
      </c>
      <c r="F71" s="30">
        <v>1.0524740622505986</v>
      </c>
      <c r="G71" s="28">
        <v>19</v>
      </c>
      <c r="H71" s="28">
        <f>+G71*$B$1</f>
        <v>19</v>
      </c>
      <c r="I71" s="33">
        <f>+F71*G71</f>
        <v>19.997007182761372</v>
      </c>
      <c r="J71" s="33">
        <f>+F71*H71</f>
        <v>19.997007182761372</v>
      </c>
      <c r="K71" s="28">
        <v>15</v>
      </c>
      <c r="L71" s="28">
        <f>+K71*$B$1</f>
        <v>15</v>
      </c>
      <c r="M71" s="33">
        <f>+F71*K71</f>
        <v>15.787110933758978</v>
      </c>
      <c r="N71" s="33">
        <f>+F71*L71</f>
        <v>15.787110933758978</v>
      </c>
      <c r="O71" s="33"/>
      <c r="P71" s="32"/>
    </row>
    <row r="72" spans="1:16" s="36" customFormat="1" x14ac:dyDescent="0.3">
      <c r="A72" s="39"/>
      <c r="B72" s="40" t="s">
        <v>75</v>
      </c>
      <c r="C72" s="38" t="s">
        <v>61</v>
      </c>
      <c r="D72" s="38" t="s">
        <v>101</v>
      </c>
      <c r="E72" s="38" t="s">
        <v>87</v>
      </c>
      <c r="F72" s="30">
        <v>2.5937749401436554E-2</v>
      </c>
      <c r="G72" s="28">
        <v>432</v>
      </c>
      <c r="H72" s="28">
        <f>+G72*$B$1</f>
        <v>432</v>
      </c>
      <c r="I72" s="33">
        <f>+F72*G72</f>
        <v>11.205107741420591</v>
      </c>
      <c r="J72" s="33">
        <f>+F72*H72</f>
        <v>11.205107741420591</v>
      </c>
      <c r="K72" s="28">
        <v>343</v>
      </c>
      <c r="L72" s="28">
        <f>+K72*$B$1</f>
        <v>343</v>
      </c>
      <c r="M72" s="33">
        <f>+F72*K72</f>
        <v>8.8966480446927374</v>
      </c>
      <c r="N72" s="33">
        <f>+F72*L72</f>
        <v>8.8966480446927374</v>
      </c>
      <c r="O72" s="33"/>
      <c r="P72" s="32"/>
    </row>
    <row r="73" spans="1:16" s="36" customFormat="1" x14ac:dyDescent="0.3">
      <c r="A73" s="39"/>
      <c r="B73" s="40" t="s">
        <v>34</v>
      </c>
      <c r="C73" s="32"/>
      <c r="D73" s="32"/>
      <c r="E73" s="32"/>
      <c r="F73" s="30"/>
      <c r="G73" s="28"/>
      <c r="H73" s="28"/>
      <c r="I73" s="33">
        <f>SUM(I70:I72)</f>
        <v>51.154229848363926</v>
      </c>
      <c r="J73" s="33">
        <f>SUM(J70:J72)</f>
        <v>51.154229848363926</v>
      </c>
      <c r="K73" s="28"/>
      <c r="L73" s="28"/>
      <c r="M73" s="33">
        <f>SUM(M70:M72)</f>
        <v>44.635873902633683</v>
      </c>
      <c r="N73" s="33">
        <f>SUM(N70:N72)</f>
        <v>44.635873902633683</v>
      </c>
      <c r="O73" s="33">
        <f>+I73-M73</f>
        <v>6.5183559457302422</v>
      </c>
      <c r="P73" s="33">
        <f>+J73-N73</f>
        <v>6.5183559457302422</v>
      </c>
    </row>
    <row r="74" spans="1:16" s="36" customFormat="1" x14ac:dyDescent="0.3">
      <c r="A74" s="42"/>
      <c r="B74" s="43" t="s">
        <v>35</v>
      </c>
      <c r="C74" s="32"/>
      <c r="D74" s="32"/>
      <c r="E74" s="32"/>
      <c r="F74" s="31"/>
      <c r="G74" s="29"/>
      <c r="H74" s="29"/>
      <c r="I74" s="33">
        <f>+I73+I68+I62+I58+I52+I48</f>
        <v>4391.7562849162014</v>
      </c>
      <c r="J74" s="33">
        <f>+J73+J68+J62+J58+J52+J48</f>
        <v>4391.7562849162014</v>
      </c>
      <c r="K74" s="29"/>
      <c r="L74" s="29"/>
      <c r="M74" s="33">
        <f>+M73+M68+M62+M58+M52+M48</f>
        <v>5220.3496608140467</v>
      </c>
      <c r="N74" s="33">
        <f>+N73+N68+N62+N58+N52+N48</f>
        <v>5220.3496608140467</v>
      </c>
      <c r="O74" s="33">
        <f>+I74-M74</f>
        <v>-828.59337589784536</v>
      </c>
      <c r="P74" s="33">
        <f>+J74-N74</f>
        <v>-828.59337589784536</v>
      </c>
    </row>
    <row r="75" spans="1:16" s="36" customFormat="1" ht="12" customHeight="1" x14ac:dyDescent="0.3">
      <c r="B75" s="37"/>
      <c r="C75" s="32"/>
      <c r="D75" s="32"/>
      <c r="E75" s="32"/>
      <c r="F75" s="30"/>
      <c r="G75" s="28"/>
      <c r="H75" s="28"/>
      <c r="I75" s="33"/>
      <c r="J75" s="33"/>
      <c r="K75" s="28"/>
      <c r="L75" s="28"/>
      <c r="M75" s="33"/>
      <c r="N75" s="33"/>
      <c r="O75" s="33"/>
      <c r="P75" s="32"/>
    </row>
    <row r="76" spans="1:16" s="36" customFormat="1" x14ac:dyDescent="0.3">
      <c r="A76" s="39"/>
      <c r="B76" s="40" t="s">
        <v>18</v>
      </c>
      <c r="C76" s="32"/>
      <c r="D76" s="32"/>
      <c r="E76" s="32"/>
      <c r="F76" s="30"/>
      <c r="G76" s="28">
        <f>+G71+G70+G65+G64+G60+G57+G51+G46</f>
        <v>992</v>
      </c>
      <c r="H76" s="28">
        <f>+G76*$B$1</f>
        <v>992</v>
      </c>
      <c r="I76" s="33">
        <f>+I71+I70+I65+I64+I60+I57+I51+I46</f>
        <v>1357.806264964086</v>
      </c>
      <c r="J76" s="33">
        <f>+J71+J70+J65+J64+J60+J57+J51+J46</f>
        <v>1357.806264964086</v>
      </c>
      <c r="K76" s="28">
        <f>+K71+K70+K65+K64+K60+K57+K51+K46</f>
        <v>1335</v>
      </c>
      <c r="L76" s="28">
        <f>+K76*$B$1</f>
        <v>1335</v>
      </c>
      <c r="M76" s="33">
        <f>+M71+M70+M65+M64+M60+M57+M51+M46</f>
        <v>1803.1125299281725</v>
      </c>
      <c r="N76" s="33">
        <f>+N71+N70+N65+N64+N60+N57+N51+N46</f>
        <v>1803.1125299281725</v>
      </c>
      <c r="O76" s="33">
        <f t="shared" ref="O76:P79" si="2">+I76-M76</f>
        <v>-445.30626496408649</v>
      </c>
      <c r="P76" s="33">
        <f t="shared" si="2"/>
        <v>-445.30626496408649</v>
      </c>
    </row>
    <row r="77" spans="1:16" s="36" customFormat="1" x14ac:dyDescent="0.3">
      <c r="A77" s="39"/>
      <c r="B77" s="40" t="s">
        <v>19</v>
      </c>
      <c r="C77" s="32"/>
      <c r="D77" s="32"/>
      <c r="E77" s="32"/>
      <c r="F77" s="30"/>
      <c r="G77" s="28">
        <f t="shared" ref="G77:N77" si="3">+G61</f>
        <v>25</v>
      </c>
      <c r="H77" s="28">
        <f>+G77*$B$1</f>
        <v>25</v>
      </c>
      <c r="I77" s="33">
        <f t="shared" si="3"/>
        <v>249.40143655227453</v>
      </c>
      <c r="J77" s="33">
        <f t="shared" si="3"/>
        <v>249.40143655227453</v>
      </c>
      <c r="K77" s="28">
        <f t="shared" si="3"/>
        <v>26</v>
      </c>
      <c r="L77" s="28">
        <f>+K77*$B$1</f>
        <v>26</v>
      </c>
      <c r="M77" s="33">
        <f t="shared" si="3"/>
        <v>259.37749401436554</v>
      </c>
      <c r="N77" s="33">
        <f t="shared" si="3"/>
        <v>259.37749401436554</v>
      </c>
      <c r="O77" s="33">
        <f t="shared" si="2"/>
        <v>-9.9760574620910063</v>
      </c>
      <c r="P77" s="33">
        <f t="shared" si="2"/>
        <v>-9.9760574620910063</v>
      </c>
    </row>
    <row r="78" spans="1:16" s="36" customFormat="1" x14ac:dyDescent="0.3">
      <c r="A78" s="39"/>
      <c r="B78" s="40" t="s">
        <v>36</v>
      </c>
      <c r="C78" s="32"/>
      <c r="D78" s="32"/>
      <c r="E78" s="32"/>
      <c r="F78" s="30"/>
      <c r="G78" s="28"/>
      <c r="H78" s="28"/>
      <c r="I78" s="33">
        <f>+I72+I67+I66+I56+I55+I54+I50+I47</f>
        <v>2784.54858339984</v>
      </c>
      <c r="J78" s="33">
        <f>+J72+J67+J66+J56+J55+J54+J50+J47</f>
        <v>2784.54858339984</v>
      </c>
      <c r="K78" s="28"/>
      <c r="L78" s="28"/>
      <c r="M78" s="33">
        <f>+M72+M67+M66+M56+M55+M54+M50+M47</f>
        <v>3157.8596368715084</v>
      </c>
      <c r="N78" s="33">
        <f>+N72+N67+N66+N56+N55+N54+N50+N47</f>
        <v>3157.8596368715084</v>
      </c>
      <c r="O78" s="33">
        <f t="shared" si="2"/>
        <v>-373.3110534716684</v>
      </c>
      <c r="P78" s="33">
        <f t="shared" si="2"/>
        <v>-373.3110534716684</v>
      </c>
    </row>
    <row r="79" spans="1:16" s="36" customFormat="1" x14ac:dyDescent="0.3">
      <c r="A79" s="42"/>
      <c r="B79" s="43" t="s">
        <v>35</v>
      </c>
      <c r="C79" s="32"/>
      <c r="D79" s="32"/>
      <c r="E79" s="32"/>
      <c r="F79" s="31"/>
      <c r="G79" s="29"/>
      <c r="H79" s="29"/>
      <c r="I79" s="33">
        <f>SUM(I76:I78)</f>
        <v>4391.7562849162005</v>
      </c>
      <c r="J79" s="33">
        <f>SUM(J76:J78)</f>
        <v>4391.7562849162005</v>
      </c>
      <c r="K79" s="29"/>
      <c r="L79" s="29"/>
      <c r="M79" s="33">
        <f>SUM(M76:M78)</f>
        <v>5220.3496608140467</v>
      </c>
      <c r="N79" s="33">
        <f>SUM(N76:N78)</f>
        <v>5220.3496608140467</v>
      </c>
      <c r="O79" s="33">
        <f t="shared" si="2"/>
        <v>-828.59337589784627</v>
      </c>
      <c r="P79" s="33">
        <f t="shared" si="2"/>
        <v>-828.59337589784627</v>
      </c>
    </row>
    <row r="80" spans="1:16" s="36" customFormat="1" ht="12" customHeight="1" x14ac:dyDescent="0.3">
      <c r="B80" s="37"/>
      <c r="C80" s="32"/>
      <c r="D80" s="32"/>
      <c r="E80" s="32"/>
      <c r="F80" s="30"/>
      <c r="G80" s="28"/>
      <c r="H80" s="28"/>
      <c r="I80" s="33"/>
      <c r="J80" s="33"/>
      <c r="K80" s="28"/>
      <c r="L80" s="28"/>
      <c r="M80" s="33"/>
      <c r="N80" s="33"/>
      <c r="O80" s="33"/>
      <c r="P80" s="32"/>
    </row>
    <row r="81" spans="1:16" x14ac:dyDescent="0.3">
      <c r="A81" s="25" t="s">
        <v>37</v>
      </c>
      <c r="B81" s="22" t="s">
        <v>38</v>
      </c>
      <c r="D81" s="32"/>
      <c r="E81" s="32"/>
      <c r="F81" s="23"/>
      <c r="G81" s="29"/>
      <c r="H81" s="29"/>
      <c r="I81" s="33">
        <f>+I74+I36</f>
        <v>15749.020724660815</v>
      </c>
      <c r="J81" s="33">
        <f>+J74+J36</f>
        <v>15749.020724660815</v>
      </c>
      <c r="K81" s="29"/>
      <c r="L81" s="24"/>
      <c r="M81" s="4">
        <f>+M74+M36</f>
        <v>17878.864435754193</v>
      </c>
      <c r="N81" s="4">
        <f>+N74+N36</f>
        <v>17878.864435754193</v>
      </c>
      <c r="O81" s="4">
        <f>+I81-M81</f>
        <v>-2129.8437110933774</v>
      </c>
      <c r="P81" s="4">
        <f>+J81-N81</f>
        <v>-2129.8437110933774</v>
      </c>
    </row>
    <row r="82" spans="1:16" x14ac:dyDescent="0.3">
      <c r="A82" s="25" t="s">
        <v>39</v>
      </c>
      <c r="B82" s="21"/>
      <c r="G82" s="20"/>
      <c r="H82" s="20"/>
      <c r="I82" s="26">
        <f>+I81/G50</f>
        <v>3.8982724565992117</v>
      </c>
      <c r="J82" s="26">
        <f>+J81/H50</f>
        <v>3.8982724565992117</v>
      </c>
      <c r="K82" s="24"/>
      <c r="L82" s="24"/>
      <c r="M82" s="26">
        <f>+M81/K50</f>
        <v>4.2366977335910407</v>
      </c>
      <c r="N82" s="26">
        <f>+N81/L50</f>
        <v>4.2366977335910407</v>
      </c>
      <c r="O82" s="26">
        <f>+I82-M82</f>
        <v>-0.338425276991829</v>
      </c>
      <c r="P82" s="26">
        <f>+J82-N82</f>
        <v>-0.338425276991829</v>
      </c>
    </row>
  </sheetData>
  <mergeCells count="7">
    <mergeCell ref="C1:E1"/>
    <mergeCell ref="F1:M1"/>
    <mergeCell ref="G2:J2"/>
    <mergeCell ref="K2:N2"/>
    <mergeCell ref="A50:A52"/>
    <mergeCell ref="A4:B4"/>
    <mergeCell ref="A45:B45"/>
  </mergeCell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scale="80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pane ySplit="1" topLeftCell="A5" activePane="bottomLeft" state="frozen"/>
      <selection pane="bottomLeft" activeCell="B3" sqref="B3"/>
    </sheetView>
  </sheetViews>
  <sheetFormatPr defaultColWidth="9.109375" defaultRowHeight="13.8" x14ac:dyDescent="0.3"/>
  <cols>
    <col min="1" max="1" width="28.5546875" style="48" customWidth="1"/>
    <col min="2" max="2" width="18.88671875" style="48" customWidth="1"/>
    <col min="3" max="3" width="9.109375" style="47"/>
    <col min="4" max="4" width="11.33203125" style="47" customWidth="1"/>
    <col min="5" max="5" width="12.5546875" style="47" customWidth="1"/>
    <col min="6" max="6" width="11.109375" style="47" customWidth="1"/>
    <col min="7" max="7" width="13" style="47" customWidth="1"/>
    <col min="8" max="8" width="9.109375" style="50"/>
    <col min="9" max="16384" width="9.109375" style="48"/>
  </cols>
  <sheetData>
    <row r="1" spans="1:8" ht="15" customHeight="1" x14ac:dyDescent="0.3">
      <c r="D1" s="73" t="s">
        <v>165</v>
      </c>
      <c r="E1" s="73"/>
      <c r="F1" s="73" t="s">
        <v>166</v>
      </c>
      <c r="G1" s="73"/>
      <c r="H1" s="53" t="s">
        <v>45</v>
      </c>
    </row>
    <row r="2" spans="1:8" ht="15" customHeight="1" x14ac:dyDescent="0.3">
      <c r="A2" s="45" t="s">
        <v>1</v>
      </c>
      <c r="B2" s="51"/>
      <c r="C2" s="54" t="s">
        <v>146</v>
      </c>
      <c r="D2" s="54" t="s">
        <v>138</v>
      </c>
      <c r="E2" s="54" t="s">
        <v>171</v>
      </c>
      <c r="F2" s="54" t="s">
        <v>138</v>
      </c>
      <c r="G2" s="54" t="s">
        <v>170</v>
      </c>
      <c r="H2" s="53" t="s">
        <v>172</v>
      </c>
    </row>
    <row r="3" spans="1:8" ht="15" customHeight="1" x14ac:dyDescent="0.3">
      <c r="A3" s="46" t="s">
        <v>213</v>
      </c>
      <c r="B3" s="37" t="s">
        <v>147</v>
      </c>
      <c r="C3" s="47">
        <f>+VPat_VAlto!F5</f>
        <v>33.419792498004789</v>
      </c>
      <c r="D3" s="47">
        <f>+VPat_VAlto!G5</f>
        <v>14</v>
      </c>
      <c r="E3" s="47">
        <f t="shared" ref="E3:E21" si="0">+C3*D3</f>
        <v>467.87709497206703</v>
      </c>
      <c r="F3" s="47">
        <f>+VPat_VAlto!K5</f>
        <v>14</v>
      </c>
      <c r="G3" s="47">
        <f>+C3*F3</f>
        <v>467.87709497206703</v>
      </c>
      <c r="H3" s="47">
        <f>+E3-G3</f>
        <v>0</v>
      </c>
    </row>
    <row r="4" spans="1:8" ht="15" customHeight="1" x14ac:dyDescent="0.3">
      <c r="A4" s="72" t="s">
        <v>2</v>
      </c>
      <c r="B4" s="40" t="s">
        <v>148</v>
      </c>
      <c r="C4" s="47">
        <f>+VPat_VAlto!F7</f>
        <v>33.419792498004789</v>
      </c>
      <c r="D4" s="47">
        <f>+VPat_VAlto!G7</f>
        <v>35</v>
      </c>
      <c r="E4" s="47">
        <f t="shared" si="0"/>
        <v>1169.6927374301677</v>
      </c>
      <c r="F4" s="47">
        <f>+VPat_VAlto!K7</f>
        <v>0</v>
      </c>
      <c r="G4" s="47">
        <f t="shared" ref="G4:G21" si="1">+C4*F4</f>
        <v>0</v>
      </c>
      <c r="H4" s="47">
        <f t="shared" ref="H4:H25" si="2">+E4-G4</f>
        <v>1169.6927374301677</v>
      </c>
    </row>
    <row r="5" spans="1:8" ht="15" customHeight="1" x14ac:dyDescent="0.3">
      <c r="A5" s="75"/>
      <c r="B5" s="40" t="s">
        <v>149</v>
      </c>
      <c r="C5" s="47">
        <f>+VPat_VAlto!F8</f>
        <v>11.971268954509178</v>
      </c>
      <c r="D5" s="47">
        <f>+VPat_VAlto!G8</f>
        <v>11.9</v>
      </c>
      <c r="E5" s="47">
        <f t="shared" si="0"/>
        <v>142.45810055865923</v>
      </c>
      <c r="F5" s="47">
        <f>+VPat_VAlto!K8</f>
        <v>0</v>
      </c>
      <c r="G5" s="47">
        <f t="shared" si="1"/>
        <v>0</v>
      </c>
      <c r="H5" s="47">
        <f t="shared" si="2"/>
        <v>142.45810055865923</v>
      </c>
    </row>
    <row r="6" spans="1:8" ht="15" customHeight="1" x14ac:dyDescent="0.3">
      <c r="A6" s="75"/>
      <c r="B6" s="40" t="s">
        <v>150</v>
      </c>
      <c r="C6" s="47">
        <f>+VPat_VAlto!F9</f>
        <v>5.4419393455706304</v>
      </c>
      <c r="D6" s="47">
        <f>+VPat_VAlto!G9</f>
        <v>32.200000000000003</v>
      </c>
      <c r="E6" s="47">
        <f t="shared" si="0"/>
        <v>175.23044692737432</v>
      </c>
      <c r="F6" s="47">
        <f>+VPat_VAlto!K9</f>
        <v>0</v>
      </c>
      <c r="G6" s="47">
        <f t="shared" si="1"/>
        <v>0</v>
      </c>
      <c r="H6" s="47">
        <f t="shared" si="2"/>
        <v>175.23044692737432</v>
      </c>
    </row>
    <row r="7" spans="1:8" ht="15" customHeight="1" x14ac:dyDescent="0.3">
      <c r="A7" s="72" t="s">
        <v>4</v>
      </c>
      <c r="B7" s="40" t="s">
        <v>151</v>
      </c>
      <c r="C7" s="47">
        <f>+VPat_VAlto!F12</f>
        <v>33.419792498004789</v>
      </c>
      <c r="D7" s="47">
        <f>+VPat_VAlto!G12</f>
        <v>166.8</v>
      </c>
      <c r="E7" s="47">
        <f t="shared" si="0"/>
        <v>5574.4213886671987</v>
      </c>
      <c r="F7" s="47">
        <f>+VPat_VAlto!K12</f>
        <v>218.9</v>
      </c>
      <c r="G7" s="47">
        <f t="shared" si="1"/>
        <v>7315.5925778132487</v>
      </c>
      <c r="H7" s="47">
        <f t="shared" si="2"/>
        <v>-1741.17118914605</v>
      </c>
    </row>
    <row r="8" spans="1:8" ht="15" customHeight="1" x14ac:dyDescent="0.3">
      <c r="A8" s="75"/>
      <c r="B8" s="40" t="s">
        <v>152</v>
      </c>
      <c r="C8" s="47">
        <f>+VPat_VAlto!F13</f>
        <v>11.971268954509178</v>
      </c>
      <c r="D8" s="47">
        <f>+VPat_VAlto!G13</f>
        <v>50.1</v>
      </c>
      <c r="E8" s="47">
        <f t="shared" si="0"/>
        <v>599.76057462090978</v>
      </c>
      <c r="F8" s="47">
        <f>+VPat_VAlto!L13</f>
        <v>107.9</v>
      </c>
      <c r="G8" s="47">
        <f t="shared" si="1"/>
        <v>1291.6999201915403</v>
      </c>
      <c r="H8" s="47">
        <f t="shared" si="2"/>
        <v>-691.93934557063051</v>
      </c>
    </row>
    <row r="9" spans="1:8" ht="15" customHeight="1" x14ac:dyDescent="0.3">
      <c r="A9" s="75"/>
      <c r="B9" s="40" t="s">
        <v>153</v>
      </c>
      <c r="C9" s="47">
        <f>+VPat_VAlto!F14</f>
        <v>5.4419393455706304</v>
      </c>
      <c r="D9" s="47">
        <f>+VPat_VAlto!G14</f>
        <v>150.6</v>
      </c>
      <c r="E9" s="47">
        <f t="shared" si="0"/>
        <v>819.55606544293687</v>
      </c>
      <c r="F9" s="47">
        <f>+VPat_VAlto!K14</f>
        <v>164.7</v>
      </c>
      <c r="G9" s="47">
        <f t="shared" si="1"/>
        <v>896.28741021548274</v>
      </c>
      <c r="H9" s="47">
        <f t="shared" si="2"/>
        <v>-76.731344772545867</v>
      </c>
    </row>
    <row r="10" spans="1:8" ht="15" customHeight="1" x14ac:dyDescent="0.3">
      <c r="A10" s="66" t="s">
        <v>167</v>
      </c>
      <c r="B10" s="40" t="s">
        <v>154</v>
      </c>
      <c r="C10" s="47">
        <f>+VPat_VAlto!F17</f>
        <v>33.419792498004789</v>
      </c>
      <c r="D10" s="47">
        <f>+VPat_VAlto!G17</f>
        <v>8.48</v>
      </c>
      <c r="E10" s="47">
        <f t="shared" si="0"/>
        <v>283.39984038308063</v>
      </c>
      <c r="F10" s="47">
        <f>+VPat_VAlto!K17</f>
        <v>8.99</v>
      </c>
      <c r="G10" s="47">
        <f t="shared" si="1"/>
        <v>300.44393455706307</v>
      </c>
      <c r="H10" s="47">
        <f t="shared" si="2"/>
        <v>-17.044094173982444</v>
      </c>
    </row>
    <row r="11" spans="1:8" ht="15" customHeight="1" x14ac:dyDescent="0.3">
      <c r="A11" s="74"/>
      <c r="B11" s="40" t="s">
        <v>155</v>
      </c>
      <c r="C11" s="47">
        <f>+VPat_VAlto!F18</f>
        <v>11.971268954509178</v>
      </c>
      <c r="D11" s="47">
        <f>+VPat_VAlto!G18</f>
        <v>0.2</v>
      </c>
      <c r="E11" s="47">
        <f t="shared" si="0"/>
        <v>2.3942537909018355</v>
      </c>
      <c r="F11" s="47">
        <f>+VPat_VAlto!K18</f>
        <v>0.21</v>
      </c>
      <c r="G11" s="47">
        <f t="shared" si="1"/>
        <v>2.5139664804469271</v>
      </c>
      <c r="H11" s="47">
        <f t="shared" si="2"/>
        <v>-0.11971268954509151</v>
      </c>
    </row>
    <row r="12" spans="1:8" ht="15" customHeight="1" x14ac:dyDescent="0.3">
      <c r="A12" s="74"/>
      <c r="B12" s="40" t="s">
        <v>156</v>
      </c>
      <c r="C12" s="47">
        <f>+VPat_VAlto!F19</f>
        <v>5.4419393455706304</v>
      </c>
      <c r="D12" s="47">
        <f>+VPat_VAlto!G19</f>
        <v>0.86</v>
      </c>
      <c r="E12" s="47">
        <f t="shared" si="0"/>
        <v>4.6800678371907418</v>
      </c>
      <c r="F12" s="47">
        <f>+VPat_VAlto!K19</f>
        <v>0.92</v>
      </c>
      <c r="G12" s="47">
        <f t="shared" si="1"/>
        <v>5.0065841979249806</v>
      </c>
      <c r="H12" s="47">
        <f t="shared" si="2"/>
        <v>-0.32651636073423873</v>
      </c>
    </row>
    <row r="13" spans="1:8" ht="15" customHeight="1" x14ac:dyDescent="0.3">
      <c r="A13" s="72" t="s">
        <v>145</v>
      </c>
      <c r="B13" s="40" t="s">
        <v>157</v>
      </c>
      <c r="C13" s="47">
        <f>+VPat_VAlto!F23</f>
        <v>20.949720670391063</v>
      </c>
      <c r="D13" s="47">
        <f>+VPat_VAlto!G23</f>
        <v>0</v>
      </c>
      <c r="E13" s="47">
        <f t="shared" si="0"/>
        <v>0</v>
      </c>
      <c r="F13" s="47">
        <f>+VPat_VAlto!K23</f>
        <v>15.63</v>
      </c>
      <c r="G13" s="47">
        <f t="shared" si="1"/>
        <v>327.4441340782123</v>
      </c>
      <c r="H13" s="47">
        <f t="shared" si="2"/>
        <v>-327.4441340782123</v>
      </c>
    </row>
    <row r="14" spans="1:8" ht="15" customHeight="1" x14ac:dyDescent="0.3">
      <c r="A14" s="74"/>
      <c r="B14" s="40" t="s">
        <v>158</v>
      </c>
      <c r="C14" s="47">
        <f>+VPat_VAlto!F24</f>
        <v>1.0524740622505986</v>
      </c>
      <c r="D14" s="47">
        <f>+VPat_VAlto!G24</f>
        <v>362.6</v>
      </c>
      <c r="E14" s="47">
        <f t="shared" si="0"/>
        <v>381.62709497206708</v>
      </c>
      <c r="F14" s="47">
        <f>+VPat_VAlto!K24</f>
        <v>84.73</v>
      </c>
      <c r="G14" s="47">
        <f t="shared" si="1"/>
        <v>89.176127294493227</v>
      </c>
      <c r="H14" s="47">
        <f t="shared" si="2"/>
        <v>292.45096767757389</v>
      </c>
    </row>
    <row r="15" spans="1:8" ht="15" customHeight="1" x14ac:dyDescent="0.3">
      <c r="A15" s="72" t="s">
        <v>144</v>
      </c>
      <c r="B15" s="40" t="s">
        <v>159</v>
      </c>
      <c r="C15" s="47">
        <f>+VPat_VAlto!F25</f>
        <v>9.9760574620909814</v>
      </c>
      <c r="D15" s="47">
        <f>+VPat_VAlto!G25</f>
        <v>30.36</v>
      </c>
      <c r="E15" s="47">
        <f t="shared" si="0"/>
        <v>302.8731045490822</v>
      </c>
      <c r="F15" s="47">
        <f>+VPat_VAlto!K25</f>
        <v>25.42</v>
      </c>
      <c r="G15" s="47">
        <f t="shared" si="1"/>
        <v>253.59138068635278</v>
      </c>
      <c r="H15" s="47">
        <f t="shared" si="2"/>
        <v>49.281723862729422</v>
      </c>
    </row>
    <row r="16" spans="1:8" ht="15" customHeight="1" x14ac:dyDescent="0.3">
      <c r="A16" s="74"/>
      <c r="B16" s="40" t="s">
        <v>160</v>
      </c>
      <c r="C16" s="47">
        <f>+VPat_VAlto!F26</f>
        <v>1.0524740622505986</v>
      </c>
      <c r="D16" s="47">
        <f>+VPat_VAlto!G26</f>
        <v>330.4</v>
      </c>
      <c r="E16" s="47">
        <f t="shared" si="0"/>
        <v>347.73743016759772</v>
      </c>
      <c r="F16" s="47">
        <f>+VPat_VAlto!K26</f>
        <v>245.43</v>
      </c>
      <c r="G16" s="47">
        <f t="shared" si="1"/>
        <v>258.3087090981644</v>
      </c>
      <c r="H16" s="47">
        <f t="shared" si="2"/>
        <v>89.428721069433323</v>
      </c>
    </row>
    <row r="17" spans="1:11" ht="15" customHeight="1" x14ac:dyDescent="0.3">
      <c r="A17" s="72" t="s">
        <v>14</v>
      </c>
      <c r="B17" s="40" t="s">
        <v>161</v>
      </c>
      <c r="C17" s="47">
        <f>+VPat_VAlto!F29</f>
        <v>1.0524740622505986</v>
      </c>
      <c r="D17" s="47">
        <f>+VPat_VAlto!G29</f>
        <v>86</v>
      </c>
      <c r="E17" s="47">
        <f t="shared" si="0"/>
        <v>90.512769353551477</v>
      </c>
      <c r="F17" s="47">
        <f>+VPat_VAlto!K29</f>
        <v>140</v>
      </c>
      <c r="G17" s="47">
        <f t="shared" si="1"/>
        <v>147.3463687150838</v>
      </c>
      <c r="H17" s="47">
        <f t="shared" si="2"/>
        <v>-56.833599361532322</v>
      </c>
    </row>
    <row r="18" spans="1:11" ht="15" customHeight="1" x14ac:dyDescent="0.3">
      <c r="A18" s="74"/>
      <c r="B18" s="40" t="s">
        <v>162</v>
      </c>
      <c r="C18" s="47">
        <f>+VPat_VAlto!F30</f>
        <v>1.05</v>
      </c>
      <c r="D18" s="47">
        <f>+VPat_VAlto!G30</f>
        <v>49</v>
      </c>
      <c r="E18" s="47">
        <f t="shared" si="0"/>
        <v>51.45</v>
      </c>
      <c r="F18" s="47">
        <f>+VPat_VAlto!K30</f>
        <v>81</v>
      </c>
      <c r="G18" s="47">
        <f t="shared" si="1"/>
        <v>85.05</v>
      </c>
      <c r="H18" s="47">
        <f t="shared" si="2"/>
        <v>-33.599999999999994</v>
      </c>
    </row>
    <row r="19" spans="1:11" ht="15" customHeight="1" x14ac:dyDescent="0.3">
      <c r="A19" s="74"/>
      <c r="B19" s="40" t="s">
        <v>163</v>
      </c>
      <c r="C19" s="47">
        <f>+VPat_VAlto!F31</f>
        <v>6.4844373503591388</v>
      </c>
      <c r="D19" s="47">
        <f>+VPat_VAlto!G31</f>
        <v>63</v>
      </c>
      <c r="E19" s="47">
        <f t="shared" si="0"/>
        <v>408.51955307262574</v>
      </c>
      <c r="F19" s="47">
        <f>+VPat_VAlto!K31</f>
        <v>82</v>
      </c>
      <c r="G19" s="47">
        <f t="shared" si="1"/>
        <v>531.72386272944937</v>
      </c>
      <c r="H19" s="47">
        <f t="shared" si="2"/>
        <v>-123.20430965682363</v>
      </c>
    </row>
    <row r="20" spans="1:11" ht="15" customHeight="1" x14ac:dyDescent="0.3">
      <c r="A20" s="74"/>
      <c r="B20" s="40" t="s">
        <v>164</v>
      </c>
      <c r="C20" s="47">
        <f>+VPat_VAlto!F32</f>
        <v>11.422585794094175</v>
      </c>
      <c r="D20" s="47">
        <f>+VPat_VAlto!G32</f>
        <v>34</v>
      </c>
      <c r="E20" s="47">
        <f t="shared" si="0"/>
        <v>388.36791699920195</v>
      </c>
      <c r="F20" s="47">
        <f>+VPat_VAlto!K32</f>
        <v>49</v>
      </c>
      <c r="G20" s="47">
        <f t="shared" si="1"/>
        <v>559.70670391061458</v>
      </c>
      <c r="H20" s="47">
        <f t="shared" si="2"/>
        <v>-171.33878691141263</v>
      </c>
    </row>
    <row r="21" spans="1:11" ht="15" customHeight="1" x14ac:dyDescent="0.3">
      <c r="A21" s="39" t="s">
        <v>16</v>
      </c>
      <c r="B21" s="40" t="s">
        <v>173</v>
      </c>
      <c r="C21" s="47">
        <f>+VPat_VAlto!F35</f>
        <v>9.98</v>
      </c>
      <c r="D21" s="47">
        <f>+VPat_VAlto!G35</f>
        <v>14.7</v>
      </c>
      <c r="E21" s="47">
        <f t="shared" si="0"/>
        <v>146.70599999999999</v>
      </c>
      <c r="F21" s="47">
        <f>+VPat_VAlto!K35</f>
        <v>12.7</v>
      </c>
      <c r="G21" s="47">
        <f t="shared" si="1"/>
        <v>126.746</v>
      </c>
      <c r="H21" s="47">
        <f t="shared" si="2"/>
        <v>19.959999999999994</v>
      </c>
    </row>
    <row r="22" spans="1:11" ht="15" customHeight="1" x14ac:dyDescent="0.3">
      <c r="A22" s="57" t="s">
        <v>179</v>
      </c>
      <c r="D22" s="54">
        <f>SUM(D3:D21)</f>
        <v>1440.2</v>
      </c>
      <c r="E22" s="54">
        <f>SUM(E3:E21)</f>
        <v>11357.264439744615</v>
      </c>
      <c r="F22" s="54">
        <f>SUM(F3:F21)</f>
        <v>1251.53</v>
      </c>
      <c r="G22" s="54">
        <f>SUM(G3:G21)</f>
        <v>12658.514774940142</v>
      </c>
      <c r="H22" s="54">
        <f t="shared" si="2"/>
        <v>-1301.2503351955274</v>
      </c>
    </row>
    <row r="23" spans="1:11" ht="15" customHeight="1" x14ac:dyDescent="0.3">
      <c r="A23" s="40" t="s">
        <v>180</v>
      </c>
      <c r="D23" s="47">
        <f>+D5+D8+D11+D14+D16+D17+D18</f>
        <v>890.2</v>
      </c>
      <c r="E23" s="47">
        <f>+E5+E8+E11+E14+E16+E17+E18</f>
        <v>1615.9402234636871</v>
      </c>
      <c r="F23" s="47">
        <f>+F5+F8+F11+F14+F16+F17+F18</f>
        <v>659.27</v>
      </c>
      <c r="G23" s="47">
        <f>+G5+G8+G11+G14+G16+G17+G18</f>
        <v>1874.0950917797286</v>
      </c>
      <c r="H23" s="47">
        <f t="shared" si="2"/>
        <v>-258.15486831604153</v>
      </c>
    </row>
    <row r="24" spans="1:11" ht="15" customHeight="1" x14ac:dyDescent="0.3">
      <c r="A24" s="40" t="s">
        <v>181</v>
      </c>
      <c r="D24" s="47">
        <f>+D3+D4+D7+D10+D13+D15+D21</f>
        <v>269.33999999999997</v>
      </c>
      <c r="E24" s="47">
        <f>+E3+E4+E7+E10+E13+E15+E21</f>
        <v>7944.9701660015962</v>
      </c>
      <c r="F24" s="47">
        <f>+F3+F4+F7+F10+F13+F15+F21</f>
        <v>295.64000000000004</v>
      </c>
      <c r="G24" s="47">
        <f>+G3+G4+G7+G10+G13+G15+G21</f>
        <v>8791.695122106943</v>
      </c>
      <c r="H24" s="47">
        <f t="shared" si="2"/>
        <v>-846.72495610534679</v>
      </c>
    </row>
    <row r="25" spans="1:11" ht="15" customHeight="1" x14ac:dyDescent="0.3">
      <c r="A25" s="40" t="s">
        <v>182</v>
      </c>
      <c r="D25" s="47">
        <f>+D6+D9+D12+D19+D20</f>
        <v>280.66000000000003</v>
      </c>
      <c r="E25" s="47">
        <f>+E6+E9+E12+E19+E20</f>
        <v>1796.3540502793296</v>
      </c>
      <c r="F25" s="47">
        <f>+F6+F9+F12+F19+F20</f>
        <v>296.62</v>
      </c>
      <c r="G25" s="47">
        <f>+G6+G9+G12+G19+G20</f>
        <v>1992.7245610534717</v>
      </c>
      <c r="H25" s="47">
        <f t="shared" si="2"/>
        <v>-196.37051077414208</v>
      </c>
    </row>
    <row r="26" spans="1:11" ht="15" customHeight="1" x14ac:dyDescent="0.3">
      <c r="A26" s="57"/>
      <c r="D26" s="73" t="s">
        <v>165</v>
      </c>
      <c r="E26" s="73"/>
      <c r="F26" s="73" t="s">
        <v>166</v>
      </c>
      <c r="G26" s="73"/>
      <c r="H26" s="53" t="s">
        <v>45</v>
      </c>
      <c r="J26" s="49"/>
    </row>
    <row r="27" spans="1:11" ht="15" customHeight="1" x14ac:dyDescent="0.3">
      <c r="A27" s="42" t="s">
        <v>23</v>
      </c>
      <c r="B27" s="55"/>
      <c r="C27" s="54" t="s">
        <v>146</v>
      </c>
      <c r="D27" s="54" t="s">
        <v>138</v>
      </c>
      <c r="E27" s="54" t="s">
        <v>171</v>
      </c>
      <c r="F27" s="54" t="s">
        <v>138</v>
      </c>
      <c r="G27" s="54" t="s">
        <v>170</v>
      </c>
      <c r="H27" s="53" t="s">
        <v>172</v>
      </c>
      <c r="K27" s="49"/>
    </row>
    <row r="28" spans="1:11" ht="15" customHeight="1" x14ac:dyDescent="0.3">
      <c r="A28" s="72" t="s">
        <v>24</v>
      </c>
      <c r="B28" s="40" t="s">
        <v>168</v>
      </c>
      <c r="C28" s="47">
        <f>+VPat_VAlto!F46</f>
        <v>1.5462889066241023</v>
      </c>
      <c r="D28" s="47">
        <f>+VPat_VAlto!G46</f>
        <v>176</v>
      </c>
      <c r="E28" s="47">
        <f>+C28*D28</f>
        <v>272.14684756584199</v>
      </c>
      <c r="F28" s="47">
        <f>+VPat_VAlto!K46</f>
        <v>311</v>
      </c>
      <c r="G28" s="47">
        <f>+C28*F28</f>
        <v>480.8958499600958</v>
      </c>
    </row>
    <row r="29" spans="1:11" ht="15" customHeight="1" x14ac:dyDescent="0.3">
      <c r="A29" s="75"/>
      <c r="B29" s="40" t="s">
        <v>169</v>
      </c>
      <c r="C29" s="47">
        <f>+VPat_VAlto!F47</f>
        <v>2.4940143655227457E-2</v>
      </c>
      <c r="D29" s="47">
        <f>+VPat_VAlto!G47</f>
        <v>4040</v>
      </c>
      <c r="E29" s="47">
        <f t="shared" ref="E29:E44" si="3">+C29*D29</f>
        <v>100.75818036711892</v>
      </c>
      <c r="F29" s="47">
        <f>+VPat_VAlto!K47</f>
        <v>4220</v>
      </c>
      <c r="G29" s="47">
        <f t="shared" ref="G29:G44" si="4">+C29*F29</f>
        <v>105.24740622505986</v>
      </c>
    </row>
    <row r="30" spans="1:11" ht="17.399999999999999" customHeight="1" x14ac:dyDescent="0.3">
      <c r="A30" s="76" t="s">
        <v>48</v>
      </c>
      <c r="B30" s="40" t="s">
        <v>187</v>
      </c>
      <c r="C30" s="47">
        <f>+VPat_VAlto!F50</f>
        <v>0.3741021548284118</v>
      </c>
      <c r="D30" s="47">
        <f>+VPat_VAlto!G50</f>
        <v>4040</v>
      </c>
      <c r="E30" s="47">
        <f t="shared" si="3"/>
        <v>1511.3727055067836</v>
      </c>
      <c r="F30" s="47">
        <f>+VPat_VAlto!K50</f>
        <v>4220</v>
      </c>
      <c r="G30" s="47">
        <f t="shared" si="4"/>
        <v>1578.7110933758979</v>
      </c>
    </row>
    <row r="31" spans="1:11" ht="17.399999999999999" customHeight="1" x14ac:dyDescent="0.3">
      <c r="A31" s="77"/>
      <c r="B31" s="40" t="s">
        <v>188</v>
      </c>
      <c r="C31" s="47">
        <f>+VPat_VAlto!F51</f>
        <v>1.0524740622505986</v>
      </c>
      <c r="D31" s="47">
        <f>+VPat_VAlto!G51</f>
        <v>179</v>
      </c>
      <c r="E31" s="47">
        <f t="shared" si="3"/>
        <v>188.39285714285714</v>
      </c>
      <c r="F31" s="47">
        <f>+VPat_VAlto!K51</f>
        <v>223</v>
      </c>
      <c r="G31" s="47">
        <f t="shared" si="4"/>
        <v>234.70171588188347</v>
      </c>
    </row>
    <row r="32" spans="1:11" ht="15" customHeight="1" x14ac:dyDescent="0.3">
      <c r="A32" s="72" t="s">
        <v>27</v>
      </c>
      <c r="B32" s="40" t="s">
        <v>189</v>
      </c>
      <c r="C32" s="47">
        <f>+VPat_VAlto!F54</f>
        <v>0.64844373503591379</v>
      </c>
      <c r="D32" s="47">
        <f>+VPat_VAlto!G54</f>
        <v>395</v>
      </c>
      <c r="E32" s="47">
        <f t="shared" si="3"/>
        <v>256.13527533918597</v>
      </c>
      <c r="F32" s="47">
        <f>+VPat_VAlto!K54</f>
        <v>696</v>
      </c>
      <c r="G32" s="47">
        <f t="shared" si="4"/>
        <v>451.31683958499599</v>
      </c>
    </row>
    <row r="33" spans="1:12" ht="15" customHeight="1" x14ac:dyDescent="0.3">
      <c r="A33" s="69"/>
      <c r="B33" s="40" t="s">
        <v>190</v>
      </c>
      <c r="C33" s="47">
        <f>+VPat_VAlto!F55</f>
        <v>3.741021548284118E-2</v>
      </c>
      <c r="D33" s="47">
        <f>+VPat_VAlto!H55</f>
        <v>3035</v>
      </c>
      <c r="E33" s="47">
        <f t="shared" si="3"/>
        <v>113.54000399042299</v>
      </c>
      <c r="F33" s="47">
        <f>+VPat_VAlto!K55</f>
        <v>2901</v>
      </c>
      <c r="G33" s="47">
        <f t="shared" si="4"/>
        <v>108.52703511572227</v>
      </c>
    </row>
    <row r="34" spans="1:12" ht="15" customHeight="1" x14ac:dyDescent="0.3">
      <c r="A34" s="69"/>
      <c r="B34" s="40" t="s">
        <v>191</v>
      </c>
      <c r="C34" s="47">
        <f>+VPat_VAlto!F56</f>
        <v>0.67338387869114125</v>
      </c>
      <c r="D34" s="47">
        <f>+VPat_VAlto!G56</f>
        <v>759</v>
      </c>
      <c r="E34" s="47">
        <f t="shared" si="3"/>
        <v>511.09836392657621</v>
      </c>
      <c r="F34" s="47">
        <f>+VPat_VAlto!K56</f>
        <v>725</v>
      </c>
      <c r="G34" s="47">
        <f t="shared" si="4"/>
        <v>488.20331205107738</v>
      </c>
    </row>
    <row r="35" spans="1:12" ht="15" customHeight="1" x14ac:dyDescent="0.3">
      <c r="A35" s="69"/>
      <c r="B35" s="40" t="s">
        <v>192</v>
      </c>
      <c r="C35" s="47">
        <f>+VPat_VAlto!F57</f>
        <v>1.5462889066241023</v>
      </c>
      <c r="D35" s="47">
        <f>+VPat_VAlto!H57</f>
        <v>320</v>
      </c>
      <c r="E35" s="47">
        <f t="shared" si="3"/>
        <v>494.81245011971276</v>
      </c>
      <c r="F35" s="47">
        <f>+VPat_VAlto!K57</f>
        <v>266</v>
      </c>
      <c r="G35" s="47">
        <f t="shared" si="4"/>
        <v>411.31284916201122</v>
      </c>
    </row>
    <row r="36" spans="1:12" ht="15" customHeight="1" x14ac:dyDescent="0.3">
      <c r="A36" s="72" t="s">
        <v>29</v>
      </c>
      <c r="B36" s="40" t="s">
        <v>193</v>
      </c>
      <c r="C36" s="47">
        <f>+VPat_VAlto!F60</f>
        <v>1.0524740622505986</v>
      </c>
      <c r="D36" s="47">
        <f>+VPat_VAlto!G60</f>
        <v>111</v>
      </c>
      <c r="E36" s="47">
        <f t="shared" si="3"/>
        <v>116.82462090981645</v>
      </c>
      <c r="F36" s="47">
        <f>+VPat_VAlto!K60</f>
        <v>223</v>
      </c>
      <c r="G36" s="47">
        <f t="shared" si="4"/>
        <v>234.70171588188347</v>
      </c>
    </row>
    <row r="37" spans="1:12" ht="15" customHeight="1" x14ac:dyDescent="0.3">
      <c r="A37" s="69"/>
      <c r="B37" s="40" t="s">
        <v>194</v>
      </c>
      <c r="C37" s="47">
        <f>+VPat_VAlto!F61</f>
        <v>9.9760574620909814</v>
      </c>
      <c r="D37" s="47">
        <f>+VPat_VAlto!G61</f>
        <v>25</v>
      </c>
      <c r="E37" s="47">
        <f t="shared" si="3"/>
        <v>249.40143655227453</v>
      </c>
      <c r="F37" s="47">
        <f>+VPat_VAlto!K61</f>
        <v>26</v>
      </c>
      <c r="G37" s="47">
        <f t="shared" si="4"/>
        <v>259.37749401436554</v>
      </c>
    </row>
    <row r="38" spans="1:12" ht="15" customHeight="1" x14ac:dyDescent="0.3">
      <c r="A38" s="72" t="s">
        <v>31</v>
      </c>
      <c r="B38" s="40" t="s">
        <v>195</v>
      </c>
      <c r="C38" s="47">
        <f>+VPat_VAlto!F64</f>
        <v>1.9952114924181965</v>
      </c>
      <c r="D38" s="47">
        <f>+VPat_VAlto!G64</f>
        <v>63</v>
      </c>
      <c r="E38" s="47">
        <f t="shared" si="3"/>
        <v>125.69832402234638</v>
      </c>
      <c r="F38" s="47">
        <f>+VPat_VAlto!K64</f>
        <v>110</v>
      </c>
      <c r="G38" s="47">
        <f t="shared" si="4"/>
        <v>219.47326416600163</v>
      </c>
    </row>
    <row r="39" spans="1:12" ht="15" customHeight="1" x14ac:dyDescent="0.3">
      <c r="A39" s="69"/>
      <c r="B39" s="40" t="s">
        <v>196</v>
      </c>
      <c r="C39" s="47">
        <f>+VPat_VAlto!F65</f>
        <v>1.0524740622505986</v>
      </c>
      <c r="D39" s="47">
        <f>+VPat_VAlto!G65</f>
        <v>114</v>
      </c>
      <c r="E39" s="47">
        <f t="shared" si="3"/>
        <v>119.98204309656823</v>
      </c>
      <c r="F39" s="47">
        <f>+VPat_VAlto!K65</f>
        <v>177</v>
      </c>
      <c r="G39" s="47">
        <f t="shared" si="4"/>
        <v>186.28790901835595</v>
      </c>
    </row>
    <row r="40" spans="1:12" ht="15" customHeight="1" x14ac:dyDescent="0.3">
      <c r="A40" s="69"/>
      <c r="B40" s="40" t="s">
        <v>197</v>
      </c>
      <c r="C40" s="47">
        <f>+VPat_VAlto!F66</f>
        <v>2.5937749401436554E-2</v>
      </c>
      <c r="D40" s="47">
        <f>+VPat_VAlto!G66</f>
        <v>2652</v>
      </c>
      <c r="E40" s="47">
        <f t="shared" si="3"/>
        <v>68.78691141260974</v>
      </c>
      <c r="F40" s="47">
        <f>+VPat_VAlto!K66</f>
        <v>3943</v>
      </c>
      <c r="G40" s="47">
        <f t="shared" si="4"/>
        <v>102.27254588986433</v>
      </c>
    </row>
    <row r="41" spans="1:12" ht="15" customHeight="1" x14ac:dyDescent="0.3">
      <c r="A41" s="69"/>
      <c r="B41" s="40" t="s">
        <v>198</v>
      </c>
      <c r="C41" s="47">
        <f>+VPat_VAlto!F67</f>
        <v>7.9808459696727854E-2</v>
      </c>
      <c r="D41" s="47">
        <f>+VPat_VAlto!G67</f>
        <v>2652</v>
      </c>
      <c r="E41" s="47">
        <f t="shared" si="3"/>
        <v>211.65203511572227</v>
      </c>
      <c r="F41" s="47">
        <f>+VPat_VAlto!K67</f>
        <v>3943</v>
      </c>
      <c r="G41" s="47">
        <f t="shared" si="4"/>
        <v>314.68475658419794</v>
      </c>
    </row>
    <row r="42" spans="1:12" ht="15" customHeight="1" x14ac:dyDescent="0.3">
      <c r="A42" s="72" t="s">
        <v>33</v>
      </c>
      <c r="B42" s="40" t="s">
        <v>199</v>
      </c>
      <c r="C42" s="47">
        <f>+VPat_VAlto!F70</f>
        <v>1.9952114924181965</v>
      </c>
      <c r="D42" s="47">
        <f>+VPat_VAlto!G70</f>
        <v>10</v>
      </c>
      <c r="E42" s="47">
        <f t="shared" si="3"/>
        <v>19.952114924181966</v>
      </c>
      <c r="F42" s="47">
        <f>+VPat_VAlto!K70</f>
        <v>10</v>
      </c>
      <c r="G42" s="47">
        <f t="shared" si="4"/>
        <v>19.952114924181966</v>
      </c>
    </row>
    <row r="43" spans="1:12" ht="15" customHeight="1" x14ac:dyDescent="0.3">
      <c r="A43" s="69"/>
      <c r="B43" s="40" t="s">
        <v>200</v>
      </c>
      <c r="C43" s="47">
        <f>+VPat_VAlto!F71</f>
        <v>1.0524740622505986</v>
      </c>
      <c r="D43" s="47">
        <f>+VPat_VAlto!G71</f>
        <v>19</v>
      </c>
      <c r="E43" s="47">
        <f t="shared" si="3"/>
        <v>19.997007182761372</v>
      </c>
      <c r="F43" s="47">
        <f>+VPat_VAlto!K71</f>
        <v>15</v>
      </c>
      <c r="G43" s="47">
        <f t="shared" si="4"/>
        <v>15.787110933758978</v>
      </c>
    </row>
    <row r="44" spans="1:12" ht="15" customHeight="1" x14ac:dyDescent="0.3">
      <c r="A44" s="69"/>
      <c r="B44" s="40" t="s">
        <v>201</v>
      </c>
      <c r="C44" s="47">
        <f>+VPat_VAlto!F72</f>
        <v>2.5937749401436554E-2</v>
      </c>
      <c r="D44" s="47">
        <f>+VPat_VAlto!G72</f>
        <v>432</v>
      </c>
      <c r="E44" s="47">
        <f t="shared" si="3"/>
        <v>11.205107741420591</v>
      </c>
      <c r="F44" s="47">
        <f>+VPat_VAlto!K72</f>
        <v>343</v>
      </c>
      <c r="G44" s="47">
        <f t="shared" si="4"/>
        <v>8.8966480446927374</v>
      </c>
    </row>
    <row r="45" spans="1:12" ht="15" customHeight="1" x14ac:dyDescent="0.3">
      <c r="A45" s="57" t="s">
        <v>183</v>
      </c>
      <c r="D45" s="54">
        <f>SUM(D28:D44)</f>
        <v>19022</v>
      </c>
      <c r="E45" s="54">
        <f>SUM(E28:E44)</f>
        <v>4391.7562849162014</v>
      </c>
      <c r="F45" s="54">
        <f>SUM(F28:F44)</f>
        <v>22352</v>
      </c>
      <c r="G45" s="54">
        <f>SUM(G28:G44)</f>
        <v>5220.3496608140476</v>
      </c>
      <c r="H45" s="54">
        <f>+E45-G45</f>
        <v>-828.59337589784627</v>
      </c>
    </row>
    <row r="46" spans="1:12" ht="15" customHeight="1" x14ac:dyDescent="0.3">
      <c r="A46" s="40" t="s">
        <v>184</v>
      </c>
      <c r="D46" s="47">
        <f>+D28+D31+D35+D36+D38+D39+D42+D43</f>
        <v>992</v>
      </c>
      <c r="E46" s="47">
        <f>+E28+E31+E35+E36+E38+E39+E42+E43</f>
        <v>1357.8062649640865</v>
      </c>
      <c r="F46" s="47">
        <f>+F28+F31+F35+F36+F38+F39+F42+F43</f>
        <v>1335</v>
      </c>
      <c r="G46" s="47">
        <f>+G28+G31+G35+G36+G38+G39+G42+G43</f>
        <v>1803.1125299281725</v>
      </c>
      <c r="H46" s="47">
        <f>+E46-G46</f>
        <v>-445.30626496408604</v>
      </c>
    </row>
    <row r="47" spans="1:12" ht="15" customHeight="1" x14ac:dyDescent="0.3">
      <c r="A47" s="40" t="s">
        <v>185</v>
      </c>
      <c r="D47" s="47">
        <f>+D37</f>
        <v>25</v>
      </c>
      <c r="E47" s="47">
        <f>+E37</f>
        <v>249.40143655227453</v>
      </c>
      <c r="F47" s="47">
        <f>+F37</f>
        <v>26</v>
      </c>
      <c r="G47" s="47">
        <f>+G37</f>
        <v>259.37749401436554</v>
      </c>
      <c r="H47" s="47">
        <f>+E47-G47</f>
        <v>-9.9760574620910063</v>
      </c>
    </row>
    <row r="48" spans="1:12" ht="15" customHeight="1" x14ac:dyDescent="0.3">
      <c r="A48" s="40" t="s">
        <v>186</v>
      </c>
      <c r="D48" s="47">
        <f>+D29+D30+D32+D33+D34+D40+D41+D44</f>
        <v>18005</v>
      </c>
      <c r="E48" s="47">
        <f>+E29+E30+E32+E33+E34+E40+E41+E44</f>
        <v>2784.5485833998405</v>
      </c>
      <c r="F48" s="47">
        <f>+F29+F30+F32+F33+F34+F40+F41+F44</f>
        <v>20991</v>
      </c>
      <c r="G48" s="47">
        <f>+G29+G30+G32+G33+G34+G40+G41+G44</f>
        <v>3157.8596368715089</v>
      </c>
      <c r="H48" s="47">
        <f>+E48-G48</f>
        <v>-373.3110534716684</v>
      </c>
      <c r="L48" s="49"/>
    </row>
    <row r="49" spans="1:11" ht="15" customHeight="1" x14ac:dyDescent="0.3">
      <c r="A49" s="52"/>
      <c r="K49" s="49"/>
    </row>
    <row r="50" spans="1:11" ht="15" customHeight="1" x14ac:dyDescent="0.3">
      <c r="A50" s="56" t="s">
        <v>178</v>
      </c>
      <c r="K50" s="49"/>
    </row>
    <row r="51" spans="1:11" ht="15" customHeight="1" x14ac:dyDescent="0.3">
      <c r="A51" s="56" t="s">
        <v>202</v>
      </c>
      <c r="D51" s="47">
        <f t="shared" ref="D51:G54" si="5">+D22+D45</f>
        <v>20462.2</v>
      </c>
      <c r="E51" s="47">
        <f t="shared" si="5"/>
        <v>15749.020724660815</v>
      </c>
      <c r="F51" s="47">
        <f t="shared" si="5"/>
        <v>23603.53</v>
      </c>
      <c r="G51" s="47">
        <f t="shared" si="5"/>
        <v>17878.864435754189</v>
      </c>
      <c r="K51" s="49"/>
    </row>
    <row r="52" spans="1:11" ht="15" customHeight="1" x14ac:dyDescent="0.3">
      <c r="A52" s="48" t="s">
        <v>174</v>
      </c>
      <c r="D52" s="47">
        <f t="shared" si="5"/>
        <v>1882.2</v>
      </c>
      <c r="E52" s="47">
        <f t="shared" si="5"/>
        <v>2973.7464884277733</v>
      </c>
      <c r="F52" s="47">
        <f t="shared" si="5"/>
        <v>1994.27</v>
      </c>
      <c r="G52" s="47">
        <f t="shared" si="5"/>
        <v>3677.2076217079011</v>
      </c>
    </row>
    <row r="53" spans="1:11" ht="15" customHeight="1" x14ac:dyDescent="0.3">
      <c r="A53" s="48" t="s">
        <v>175</v>
      </c>
      <c r="D53" s="47">
        <f t="shared" si="5"/>
        <v>294.33999999999997</v>
      </c>
      <c r="E53" s="47">
        <f t="shared" si="5"/>
        <v>8194.3716025538706</v>
      </c>
      <c r="F53" s="47">
        <f t="shared" si="5"/>
        <v>321.64000000000004</v>
      </c>
      <c r="G53" s="47">
        <f t="shared" si="5"/>
        <v>9051.0726161213079</v>
      </c>
      <c r="J53" s="49"/>
    </row>
    <row r="54" spans="1:11" ht="15" customHeight="1" x14ac:dyDescent="0.3">
      <c r="A54" s="48" t="s">
        <v>176</v>
      </c>
      <c r="D54" s="47">
        <f t="shared" si="5"/>
        <v>18285.66</v>
      </c>
      <c r="E54" s="47">
        <f t="shared" si="5"/>
        <v>4580.9026336791703</v>
      </c>
      <c r="F54" s="47">
        <f t="shared" si="5"/>
        <v>21287.62</v>
      </c>
      <c r="G54" s="47">
        <f t="shared" si="5"/>
        <v>5150.5841979249808</v>
      </c>
      <c r="J54" s="49"/>
    </row>
    <row r="55" spans="1:11" ht="15" customHeight="1" x14ac:dyDescent="0.3"/>
    <row r="56" spans="1:11" ht="15" customHeight="1" x14ac:dyDescent="0.3">
      <c r="A56" s="56" t="s">
        <v>177</v>
      </c>
      <c r="E56" s="47">
        <f>+E51/D30</f>
        <v>3.8982724565992117</v>
      </c>
      <c r="G56" s="47">
        <f>+G51/F30</f>
        <v>4.2366977335910398</v>
      </c>
      <c r="H56" s="47">
        <f>+E56-G56</f>
        <v>-0.33842527699182812</v>
      </c>
    </row>
    <row r="57" spans="1:11" ht="15" customHeight="1" x14ac:dyDescent="0.3"/>
    <row r="58" spans="1:11" ht="15" customHeight="1" x14ac:dyDescent="0.3"/>
  </sheetData>
  <mergeCells count="16">
    <mergeCell ref="D1:E1"/>
    <mergeCell ref="A30:A31"/>
    <mergeCell ref="A4:A6"/>
    <mergeCell ref="A7:A9"/>
    <mergeCell ref="A10:A12"/>
    <mergeCell ref="F1:G1"/>
    <mergeCell ref="A38:A41"/>
    <mergeCell ref="A42:A44"/>
    <mergeCell ref="D26:E26"/>
    <mergeCell ref="F26:G26"/>
    <mergeCell ref="A13:A14"/>
    <mergeCell ref="A15:A16"/>
    <mergeCell ref="A17:A20"/>
    <mergeCell ref="A28:A29"/>
    <mergeCell ref="A32:A35"/>
    <mergeCell ref="A36:A37"/>
  </mergeCell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orientation="landscape" horizontalDpi="4294967293" verticalDpi="0" r:id="rId1"/>
  <rowBreaks count="1" manualBreakCount="1">
    <brk id="25" max="16383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Dados</vt:lpstr>
      <vt:lpstr>VPat_VAlto</vt:lpstr>
      <vt:lpstr>Resumo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Dos Santos</dc:creator>
  <cp:lastModifiedBy>Fernando Santos</cp:lastModifiedBy>
  <cp:lastPrinted>2021-04-28T09:47:41Z</cp:lastPrinted>
  <dcterms:created xsi:type="dcterms:W3CDTF">2019-02-23T18:34:04Z</dcterms:created>
  <dcterms:modified xsi:type="dcterms:W3CDTF">2024-03-12T14:36:50Z</dcterms:modified>
</cp:coreProperties>
</file>