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AAA\"/>
    </mc:Choice>
  </mc:AlternateContent>
  <bookViews>
    <workbookView xWindow="0" yWindow="0" windowWidth="28800" windowHeight="12024" activeTab="2"/>
  </bookViews>
  <sheets>
    <sheet name="Índice" sheetId="9" r:id="rId1"/>
    <sheet name="HorasTra" sheetId="2" r:id="rId2"/>
    <sheet name="CtoTract" sheetId="1" r:id="rId3"/>
    <sheet name="EfVel" sheetId="3" r:id="rId4"/>
    <sheet name="VidaUtil" sheetId="5" r:id="rId5"/>
    <sheet name="TabPot" sheetId="12" r:id="rId6"/>
    <sheet name="ResEsp" sheetId="13" r:id="rId7"/>
    <sheet name="Repar" sheetId="6" r:id="rId8"/>
    <sheet name="IHERA" sheetId="14" r:id="rId9"/>
  </sheets>
  <calcPr calcId="162913"/>
</workbook>
</file>

<file path=xl/calcChain.xml><?xml version="1.0" encoding="utf-8"?>
<calcChain xmlns="http://schemas.openxmlformats.org/spreadsheetml/2006/main">
  <c r="I31" i="1" l="1"/>
  <c r="F31" i="1"/>
  <c r="C31" i="1"/>
  <c r="H31" i="1"/>
  <c r="E31" i="1"/>
  <c r="B31" i="1"/>
  <c r="E4" i="1"/>
  <c r="D4" i="1"/>
  <c r="C24" i="1"/>
  <c r="C4" i="1"/>
  <c r="E1" i="1"/>
  <c r="S47" i="14"/>
  <c r="R47" i="14"/>
  <c r="Q47" i="14"/>
  <c r="P47" i="14"/>
  <c r="O47" i="14"/>
  <c r="N47" i="14"/>
  <c r="M47" i="14"/>
  <c r="K47" i="14"/>
  <c r="J47" i="14"/>
  <c r="L47" i="14"/>
  <c r="T47" i="14"/>
  <c r="I47" i="14"/>
  <c r="S46" i="14"/>
  <c r="R46" i="14"/>
  <c r="Q46" i="14"/>
  <c r="P46" i="14"/>
  <c r="O46" i="14"/>
  <c r="N46" i="14"/>
  <c r="M46" i="14"/>
  <c r="K46" i="14"/>
  <c r="J46" i="14"/>
  <c r="L46" i="14"/>
  <c r="T46" i="14"/>
  <c r="I46" i="14"/>
  <c r="S45" i="14"/>
  <c r="R45" i="14"/>
  <c r="Q45" i="14"/>
  <c r="P45" i="14"/>
  <c r="O45" i="14"/>
  <c r="N45" i="14"/>
  <c r="M45" i="14"/>
  <c r="K45" i="14"/>
  <c r="J45" i="14"/>
  <c r="L45" i="14"/>
  <c r="T45" i="14"/>
  <c r="I45" i="14"/>
  <c r="S44" i="14"/>
  <c r="R44" i="14"/>
  <c r="Q44" i="14"/>
  <c r="P44" i="14"/>
  <c r="O44" i="14"/>
  <c r="N44" i="14"/>
  <c r="M44" i="14"/>
  <c r="K44" i="14"/>
  <c r="J44" i="14"/>
  <c r="L44" i="14"/>
  <c r="T44" i="14"/>
  <c r="I44" i="14"/>
  <c r="S43" i="14"/>
  <c r="R43" i="14"/>
  <c r="Q43" i="14"/>
  <c r="P43" i="14"/>
  <c r="O43" i="14"/>
  <c r="N43" i="14"/>
  <c r="M43" i="14"/>
  <c r="K43" i="14"/>
  <c r="J43" i="14"/>
  <c r="L43" i="14"/>
  <c r="T43" i="14"/>
  <c r="I43" i="14"/>
  <c r="S42" i="14"/>
  <c r="R42" i="14"/>
  <c r="Q42" i="14"/>
  <c r="P42" i="14"/>
  <c r="O42" i="14"/>
  <c r="N42" i="14"/>
  <c r="M42" i="14"/>
  <c r="K42" i="14"/>
  <c r="J42" i="14"/>
  <c r="L42" i="14"/>
  <c r="T42" i="14"/>
  <c r="I42" i="14"/>
  <c r="S41" i="14"/>
  <c r="R41" i="14"/>
  <c r="Q41" i="14"/>
  <c r="P41" i="14"/>
  <c r="O41" i="14"/>
  <c r="N41" i="14"/>
  <c r="M41" i="14"/>
  <c r="K41" i="14"/>
  <c r="J41" i="14"/>
  <c r="L41" i="14"/>
  <c r="T41" i="14"/>
  <c r="I41" i="14"/>
  <c r="S40" i="14"/>
  <c r="R40" i="14"/>
  <c r="Q40" i="14"/>
  <c r="P40" i="14"/>
  <c r="O40" i="14"/>
  <c r="N40" i="14"/>
  <c r="M40" i="14"/>
  <c r="K40" i="14"/>
  <c r="J40" i="14"/>
  <c r="L40" i="14"/>
  <c r="T40" i="14"/>
  <c r="I40" i="14"/>
  <c r="S39" i="14"/>
  <c r="R39" i="14"/>
  <c r="Q39" i="14"/>
  <c r="P39" i="14"/>
  <c r="O39" i="14"/>
  <c r="N39" i="14"/>
  <c r="M39" i="14"/>
  <c r="K39" i="14"/>
  <c r="J39" i="14"/>
  <c r="L39" i="14"/>
  <c r="T39" i="14"/>
  <c r="I39" i="14"/>
  <c r="S38" i="14"/>
  <c r="R38" i="14"/>
  <c r="Q38" i="14"/>
  <c r="P38" i="14"/>
  <c r="O38" i="14"/>
  <c r="N38" i="14"/>
  <c r="M38" i="14"/>
  <c r="K38" i="14"/>
  <c r="J38" i="14"/>
  <c r="L38" i="14"/>
  <c r="T38" i="14"/>
  <c r="I38" i="14"/>
  <c r="S36" i="14"/>
  <c r="R36" i="14"/>
  <c r="Q36" i="14"/>
  <c r="P36" i="14"/>
  <c r="O36" i="14"/>
  <c r="N36" i="14"/>
  <c r="M36" i="14"/>
  <c r="K36" i="14"/>
  <c r="J36" i="14"/>
  <c r="L36" i="14"/>
  <c r="T36" i="14"/>
  <c r="I36" i="14"/>
  <c r="S35" i="14"/>
  <c r="R35" i="14"/>
  <c r="Q35" i="14"/>
  <c r="P35" i="14"/>
  <c r="O35" i="14"/>
  <c r="N35" i="14"/>
  <c r="M35" i="14"/>
  <c r="K35" i="14"/>
  <c r="J35" i="14"/>
  <c r="L35" i="14"/>
  <c r="T35" i="14"/>
  <c r="I35" i="14"/>
  <c r="S34" i="14"/>
  <c r="R34" i="14"/>
  <c r="Q34" i="14"/>
  <c r="P34" i="14"/>
  <c r="O34" i="14"/>
  <c r="N34" i="14"/>
  <c r="M34" i="14"/>
  <c r="K34" i="14"/>
  <c r="J34" i="14"/>
  <c r="L34" i="14"/>
  <c r="T34" i="14"/>
  <c r="I34" i="14"/>
  <c r="S33" i="14"/>
  <c r="R33" i="14"/>
  <c r="Q33" i="14"/>
  <c r="P33" i="14"/>
  <c r="O33" i="14"/>
  <c r="N33" i="14"/>
  <c r="M33" i="14"/>
  <c r="K33" i="14"/>
  <c r="J33" i="14"/>
  <c r="L33" i="14"/>
  <c r="T33" i="14"/>
  <c r="I33" i="14"/>
  <c r="S32" i="14"/>
  <c r="R32" i="14"/>
  <c r="Q32" i="14"/>
  <c r="P32" i="14"/>
  <c r="O32" i="14"/>
  <c r="N32" i="14"/>
  <c r="M32" i="14"/>
  <c r="K32" i="14"/>
  <c r="J32" i="14"/>
  <c r="L32" i="14"/>
  <c r="T32" i="14"/>
  <c r="I32" i="14"/>
  <c r="S31" i="14"/>
  <c r="R31" i="14"/>
  <c r="Q31" i="14"/>
  <c r="P31" i="14"/>
  <c r="O31" i="14"/>
  <c r="N31" i="14"/>
  <c r="M31" i="14"/>
  <c r="K31" i="14"/>
  <c r="J31" i="14"/>
  <c r="L31" i="14"/>
  <c r="T31" i="14"/>
  <c r="I31" i="14"/>
  <c r="S30" i="14"/>
  <c r="R30" i="14"/>
  <c r="Q30" i="14"/>
  <c r="P30" i="14"/>
  <c r="O30" i="14"/>
  <c r="N30" i="14"/>
  <c r="M30" i="14"/>
  <c r="K30" i="14"/>
  <c r="J30" i="14"/>
  <c r="L30" i="14"/>
  <c r="T30" i="14"/>
  <c r="I30" i="14"/>
  <c r="S29" i="14"/>
  <c r="R29" i="14"/>
  <c r="Q29" i="14"/>
  <c r="P29" i="14"/>
  <c r="O29" i="14"/>
  <c r="N29" i="14"/>
  <c r="M29" i="14"/>
  <c r="K29" i="14"/>
  <c r="J29" i="14"/>
  <c r="L29" i="14"/>
  <c r="T29" i="14"/>
  <c r="I29" i="14"/>
  <c r="S28" i="14"/>
  <c r="R28" i="14"/>
  <c r="Q28" i="14"/>
  <c r="P28" i="14"/>
  <c r="O28" i="14"/>
  <c r="N28" i="14"/>
  <c r="M28" i="14"/>
  <c r="K28" i="14"/>
  <c r="J28" i="14"/>
  <c r="L28" i="14"/>
  <c r="T28" i="14"/>
  <c r="I28" i="14"/>
  <c r="S27" i="14"/>
  <c r="R27" i="14"/>
  <c r="Q27" i="14"/>
  <c r="P27" i="14"/>
  <c r="O27" i="14"/>
  <c r="N27" i="14"/>
  <c r="M27" i="14"/>
  <c r="K27" i="14"/>
  <c r="J27" i="14"/>
  <c r="L27" i="14"/>
  <c r="T27" i="14"/>
  <c r="I27" i="14"/>
  <c r="S26" i="14"/>
  <c r="R26" i="14"/>
  <c r="Q26" i="14"/>
  <c r="P26" i="14"/>
  <c r="O26" i="14"/>
  <c r="N26" i="14"/>
  <c r="M26" i="14"/>
  <c r="K26" i="14"/>
  <c r="J26" i="14"/>
  <c r="L26" i="14"/>
  <c r="T26" i="14"/>
  <c r="I26" i="14"/>
  <c r="S25" i="14"/>
  <c r="R25" i="14"/>
  <c r="Q25" i="14"/>
  <c r="P25" i="14"/>
  <c r="O25" i="14"/>
  <c r="N25" i="14"/>
  <c r="M25" i="14"/>
  <c r="K25" i="14"/>
  <c r="J25" i="14"/>
  <c r="L25" i="14"/>
  <c r="T25" i="14"/>
  <c r="I25" i="14"/>
  <c r="S24" i="14"/>
  <c r="R24" i="14"/>
  <c r="Q24" i="14"/>
  <c r="P24" i="14"/>
  <c r="O24" i="14"/>
  <c r="N24" i="14"/>
  <c r="M24" i="14"/>
  <c r="K24" i="14"/>
  <c r="J24" i="14"/>
  <c r="L24" i="14"/>
  <c r="T24" i="14"/>
  <c r="I24" i="14"/>
  <c r="S23" i="14"/>
  <c r="R23" i="14"/>
  <c r="Q23" i="14"/>
  <c r="P23" i="14"/>
  <c r="O23" i="14"/>
  <c r="N23" i="14"/>
  <c r="M23" i="14"/>
  <c r="K23" i="14"/>
  <c r="J23" i="14"/>
  <c r="L23" i="14"/>
  <c r="T23" i="14"/>
  <c r="I23" i="14"/>
  <c r="S22" i="14"/>
  <c r="R22" i="14"/>
  <c r="Q22" i="14"/>
  <c r="P22" i="14"/>
  <c r="O22" i="14"/>
  <c r="N22" i="14"/>
  <c r="M22" i="14"/>
  <c r="K22" i="14"/>
  <c r="J22" i="14"/>
  <c r="L22" i="14"/>
  <c r="T22" i="14"/>
  <c r="I22" i="14"/>
  <c r="S21" i="14"/>
  <c r="R21" i="14"/>
  <c r="Q21" i="14"/>
  <c r="P21" i="14"/>
  <c r="O21" i="14"/>
  <c r="N21" i="14"/>
  <c r="M21" i="14"/>
  <c r="K21" i="14"/>
  <c r="J21" i="14"/>
  <c r="L21" i="14"/>
  <c r="T21" i="14"/>
  <c r="I21" i="14"/>
  <c r="S20" i="14"/>
  <c r="R20" i="14"/>
  <c r="Q20" i="14"/>
  <c r="P20" i="14"/>
  <c r="O20" i="14"/>
  <c r="N20" i="14"/>
  <c r="M20" i="14"/>
  <c r="K20" i="14"/>
  <c r="J20" i="14"/>
  <c r="L20" i="14"/>
  <c r="T20" i="14"/>
  <c r="I20" i="14"/>
  <c r="S19" i="14"/>
  <c r="R19" i="14"/>
  <c r="Q19" i="14"/>
  <c r="P19" i="14"/>
  <c r="O19" i="14"/>
  <c r="N19" i="14"/>
  <c r="M19" i="14"/>
  <c r="K19" i="14"/>
  <c r="J19" i="14"/>
  <c r="L19" i="14"/>
  <c r="T19" i="14"/>
  <c r="I19" i="14"/>
  <c r="S17" i="14"/>
  <c r="R17" i="14"/>
  <c r="Q17" i="14"/>
  <c r="P17" i="14"/>
  <c r="O17" i="14"/>
  <c r="N17" i="14"/>
  <c r="M17" i="14"/>
  <c r="K17" i="14"/>
  <c r="J17" i="14"/>
  <c r="L17" i="14"/>
  <c r="T17" i="14"/>
  <c r="I17" i="14"/>
  <c r="S16" i="14"/>
  <c r="R16" i="14"/>
  <c r="Q16" i="14"/>
  <c r="P16" i="14"/>
  <c r="O16" i="14"/>
  <c r="N16" i="14"/>
  <c r="M16" i="14"/>
  <c r="K16" i="14"/>
  <c r="J16" i="14"/>
  <c r="L16" i="14"/>
  <c r="T16" i="14"/>
  <c r="I16" i="14"/>
  <c r="S15" i="14"/>
  <c r="R15" i="14"/>
  <c r="Q15" i="14"/>
  <c r="P15" i="14"/>
  <c r="O15" i="14"/>
  <c r="N15" i="14"/>
  <c r="M15" i="14"/>
  <c r="K15" i="14"/>
  <c r="J15" i="14"/>
  <c r="L15" i="14"/>
  <c r="T15" i="14"/>
  <c r="I15" i="14"/>
  <c r="S14" i="14"/>
  <c r="R14" i="14"/>
  <c r="Q14" i="14"/>
  <c r="P14" i="14"/>
  <c r="O14" i="14"/>
  <c r="N14" i="14"/>
  <c r="M14" i="14"/>
  <c r="K14" i="14"/>
  <c r="J14" i="14"/>
  <c r="L14" i="14"/>
  <c r="T14" i="14"/>
  <c r="I14" i="14"/>
  <c r="S13" i="14"/>
  <c r="R13" i="14"/>
  <c r="Q13" i="14"/>
  <c r="P13" i="14"/>
  <c r="O13" i="14"/>
  <c r="N13" i="14"/>
  <c r="M13" i="14"/>
  <c r="K13" i="14"/>
  <c r="J13" i="14"/>
  <c r="L13" i="14"/>
  <c r="T13" i="14"/>
  <c r="I13" i="14"/>
  <c r="S12" i="14"/>
  <c r="R12" i="14"/>
  <c r="Q12" i="14"/>
  <c r="P12" i="14"/>
  <c r="O12" i="14"/>
  <c r="N12" i="14"/>
  <c r="M12" i="14"/>
  <c r="K12" i="14"/>
  <c r="J12" i="14"/>
  <c r="L12" i="14"/>
  <c r="T12" i="14"/>
  <c r="I12" i="14"/>
  <c r="S11" i="14"/>
  <c r="R11" i="14"/>
  <c r="Q11" i="14"/>
  <c r="P11" i="14"/>
  <c r="O11" i="14"/>
  <c r="N11" i="14"/>
  <c r="M11" i="14"/>
  <c r="K11" i="14"/>
  <c r="J11" i="14"/>
  <c r="L11" i="14"/>
  <c r="T11" i="14"/>
  <c r="I11" i="14"/>
  <c r="S10" i="14"/>
  <c r="R10" i="14"/>
  <c r="Q10" i="14"/>
  <c r="P10" i="14"/>
  <c r="O10" i="14"/>
  <c r="N10" i="14"/>
  <c r="M10" i="14"/>
  <c r="K10" i="14"/>
  <c r="J10" i="14"/>
  <c r="L10" i="14"/>
  <c r="T10" i="14"/>
  <c r="I10" i="14"/>
  <c r="S9" i="14"/>
  <c r="R9" i="14"/>
  <c r="Q9" i="14"/>
  <c r="P9" i="14"/>
  <c r="O9" i="14"/>
  <c r="N9" i="14"/>
  <c r="M9" i="14"/>
  <c r="K9" i="14"/>
  <c r="J9" i="14"/>
  <c r="L9" i="14"/>
  <c r="T9" i="14"/>
  <c r="I9" i="14"/>
  <c r="S8" i="14"/>
  <c r="R8" i="14"/>
  <c r="Q8" i="14"/>
  <c r="P8" i="14"/>
  <c r="O8" i="14"/>
  <c r="N8" i="14"/>
  <c r="M8" i="14"/>
  <c r="K8" i="14"/>
  <c r="J8" i="14"/>
  <c r="L8" i="14"/>
  <c r="T8" i="14"/>
  <c r="I8" i="14"/>
  <c r="S7" i="14"/>
  <c r="R7" i="14"/>
  <c r="Q7" i="14"/>
  <c r="P7" i="14"/>
  <c r="O7" i="14"/>
  <c r="N7" i="14"/>
  <c r="M7" i="14"/>
  <c r="K7" i="14"/>
  <c r="J7" i="14"/>
  <c r="L7" i="14"/>
  <c r="T7" i="14"/>
  <c r="I7" i="14"/>
  <c r="S6" i="14"/>
  <c r="R6" i="14"/>
  <c r="Q6" i="14"/>
  <c r="P6" i="14"/>
  <c r="O6" i="14"/>
  <c r="N6" i="14"/>
  <c r="M6" i="14"/>
  <c r="K6" i="14"/>
  <c r="J6" i="14"/>
  <c r="L6" i="14"/>
  <c r="T6" i="14"/>
  <c r="I6" i="14"/>
  <c r="L23" i="2"/>
  <c r="L20" i="2"/>
  <c r="L17" i="2"/>
  <c r="L14" i="2"/>
  <c r="L11" i="2"/>
  <c r="L8" i="2"/>
  <c r="L5" i="2"/>
  <c r="B4" i="1"/>
  <c r="B8" i="1"/>
  <c r="K29" i="12"/>
  <c r="K28" i="12"/>
  <c r="K27" i="12"/>
  <c r="K26" i="12"/>
  <c r="K85" i="12"/>
  <c r="K84" i="12"/>
  <c r="K83" i="12"/>
  <c r="K92" i="12"/>
  <c r="K91" i="12"/>
  <c r="K90" i="12"/>
  <c r="K89" i="12"/>
  <c r="K88" i="12"/>
  <c r="K96" i="12"/>
  <c r="K95" i="12"/>
  <c r="K94" i="12"/>
  <c r="K100" i="12"/>
  <c r="K99" i="12"/>
  <c r="K105" i="12"/>
  <c r="K104" i="12"/>
  <c r="K103" i="12"/>
  <c r="K175" i="12"/>
  <c r="K174" i="12"/>
  <c r="K173" i="12"/>
  <c r="K170" i="12"/>
  <c r="K169" i="12"/>
  <c r="K168" i="12"/>
  <c r="K158" i="12"/>
  <c r="K156" i="12"/>
  <c r="K155" i="12"/>
  <c r="K154" i="12"/>
  <c r="K152" i="12"/>
  <c r="K151" i="12"/>
  <c r="K149" i="12"/>
  <c r="K148" i="12"/>
  <c r="K145" i="12"/>
  <c r="K143" i="12"/>
  <c r="K142" i="12"/>
  <c r="K140" i="12"/>
  <c r="K139" i="12"/>
  <c r="K138" i="12"/>
  <c r="K135" i="12"/>
  <c r="K133" i="12"/>
  <c r="K132" i="12"/>
  <c r="K129" i="12"/>
  <c r="K128" i="12"/>
  <c r="K126" i="12"/>
  <c r="K125" i="12"/>
  <c r="K124" i="12"/>
  <c r="K122" i="12"/>
  <c r="K121" i="12"/>
  <c r="K120" i="12"/>
  <c r="K118" i="12"/>
  <c r="K117" i="12"/>
  <c r="K114" i="12"/>
  <c r="K113" i="12"/>
  <c r="K112" i="12"/>
  <c r="K110" i="12"/>
  <c r="K109" i="12"/>
  <c r="K108" i="12"/>
  <c r="K81" i="12"/>
  <c r="K80" i="12"/>
  <c r="K79" i="12"/>
  <c r="K78" i="12"/>
  <c r="K76" i="12"/>
  <c r="K75" i="12"/>
  <c r="K74" i="12"/>
  <c r="K73" i="12"/>
  <c r="K185" i="12"/>
  <c r="K184" i="12"/>
  <c r="K183" i="12"/>
  <c r="K182" i="12"/>
  <c r="K181" i="12"/>
  <c r="K180" i="12"/>
  <c r="K179" i="12"/>
  <c r="K178" i="12"/>
  <c r="K177" i="12"/>
  <c r="K162" i="12"/>
  <c r="K161" i="12"/>
  <c r="D156" i="12"/>
  <c r="D155" i="12"/>
  <c r="D154" i="12"/>
  <c r="D105" i="12"/>
  <c r="D104" i="12"/>
  <c r="D103" i="12"/>
  <c r="D96" i="12"/>
  <c r="D95" i="12"/>
  <c r="D94" i="12"/>
  <c r="D85" i="12"/>
  <c r="D84" i="12"/>
  <c r="D83" i="12"/>
  <c r="K71" i="12"/>
  <c r="K70" i="12"/>
  <c r="K69" i="12"/>
  <c r="D66" i="12"/>
  <c r="H66" i="12"/>
  <c r="K66" i="12"/>
  <c r="J66" i="12"/>
  <c r="D65" i="12"/>
  <c r="H65" i="12"/>
  <c r="K65" i="12"/>
  <c r="J65" i="12"/>
  <c r="D64" i="12"/>
  <c r="H64" i="12"/>
  <c r="K64" i="12"/>
  <c r="J64" i="12"/>
  <c r="D63" i="12"/>
  <c r="H63" i="12"/>
  <c r="K63" i="12"/>
  <c r="J63" i="12"/>
  <c r="D62" i="12"/>
  <c r="H62" i="12"/>
  <c r="K62" i="12"/>
  <c r="J62" i="12"/>
  <c r="H59" i="12"/>
  <c r="K59" i="12"/>
  <c r="J59" i="12"/>
  <c r="H58" i="12"/>
  <c r="K58" i="12"/>
  <c r="J58" i="12"/>
  <c r="H57" i="12"/>
  <c r="K57" i="12"/>
  <c r="J57" i="12"/>
  <c r="H56" i="12"/>
  <c r="K56" i="12"/>
  <c r="J56" i="12"/>
  <c r="H55" i="12"/>
  <c r="K55" i="12"/>
  <c r="J55" i="12"/>
  <c r="H54" i="12"/>
  <c r="K54" i="12"/>
  <c r="J54" i="12"/>
  <c r="H51" i="12"/>
  <c r="K51" i="12"/>
  <c r="J51" i="12"/>
  <c r="H50" i="12"/>
  <c r="K50" i="12"/>
  <c r="J50" i="12"/>
  <c r="H49" i="12"/>
  <c r="K49" i="12"/>
  <c r="J49" i="12"/>
  <c r="H47" i="12"/>
  <c r="K47" i="12"/>
  <c r="J47" i="12"/>
  <c r="H46" i="12"/>
  <c r="K46" i="12"/>
  <c r="J46" i="12"/>
  <c r="H45" i="12"/>
  <c r="K45" i="12"/>
  <c r="J45" i="12"/>
  <c r="H44" i="12"/>
  <c r="K44" i="12"/>
  <c r="J44" i="12"/>
  <c r="H42" i="12"/>
  <c r="K42" i="12"/>
  <c r="J42" i="12"/>
  <c r="H41" i="12"/>
  <c r="K41" i="12"/>
  <c r="J41" i="12"/>
  <c r="H40" i="12"/>
  <c r="K40" i="12"/>
  <c r="J40" i="12"/>
  <c r="H38" i="12"/>
  <c r="K38" i="12"/>
  <c r="J38" i="12"/>
  <c r="H37" i="12"/>
  <c r="K37" i="12"/>
  <c r="J37" i="12"/>
  <c r="H35" i="12"/>
  <c r="K35" i="12"/>
  <c r="J35" i="12"/>
  <c r="H34" i="12"/>
  <c r="K34" i="12"/>
  <c r="J34" i="12"/>
  <c r="H33" i="12"/>
  <c r="K33" i="12"/>
  <c r="J33" i="12"/>
  <c r="H32" i="12"/>
  <c r="K32" i="12"/>
  <c r="J32" i="12"/>
  <c r="H31" i="12"/>
  <c r="K31" i="12"/>
  <c r="J31" i="12"/>
  <c r="D24" i="12"/>
  <c r="H24" i="12"/>
  <c r="K24" i="12"/>
  <c r="J24" i="12"/>
  <c r="D23" i="12"/>
  <c r="H23" i="12"/>
  <c r="K23" i="12"/>
  <c r="J23" i="12"/>
  <c r="D22" i="12"/>
  <c r="H22" i="12"/>
  <c r="K22" i="12"/>
  <c r="J22" i="12"/>
  <c r="D21" i="12"/>
  <c r="H21" i="12"/>
  <c r="K21" i="12"/>
  <c r="J21" i="12"/>
  <c r="D19" i="12"/>
  <c r="H19" i="12"/>
  <c r="K19" i="12"/>
  <c r="J19" i="12"/>
  <c r="D18" i="12"/>
  <c r="H18" i="12"/>
  <c r="K18" i="12"/>
  <c r="J18" i="12"/>
  <c r="D17" i="12"/>
  <c r="H17" i="12"/>
  <c r="K17" i="12"/>
  <c r="J17" i="12"/>
  <c r="D15" i="12"/>
  <c r="H15" i="12"/>
  <c r="K15" i="12"/>
  <c r="J15" i="12"/>
  <c r="D14" i="12"/>
  <c r="H14" i="12"/>
  <c r="K14" i="12"/>
  <c r="J14" i="12"/>
  <c r="D13" i="12"/>
  <c r="H13" i="12"/>
  <c r="K13" i="12"/>
  <c r="J13" i="12"/>
  <c r="C11" i="12"/>
  <c r="D11" i="12"/>
  <c r="H11" i="12"/>
  <c r="K11" i="12"/>
  <c r="J11" i="12"/>
  <c r="C10" i="12"/>
  <c r="D10" i="12"/>
  <c r="H10" i="12"/>
  <c r="K10" i="12"/>
  <c r="J10" i="12"/>
  <c r="C8" i="12"/>
  <c r="D8" i="12"/>
  <c r="H8" i="12"/>
  <c r="K8" i="12"/>
  <c r="J8" i="12"/>
  <c r="C7" i="12"/>
  <c r="D7" i="12"/>
  <c r="H7" i="12"/>
  <c r="K7" i="12"/>
  <c r="J7" i="12"/>
  <c r="C6" i="12"/>
  <c r="D6" i="12"/>
  <c r="H6" i="12"/>
  <c r="K6" i="12"/>
  <c r="J6" i="12"/>
  <c r="C5" i="12"/>
  <c r="D5" i="12"/>
  <c r="H5" i="12"/>
  <c r="K5" i="12"/>
  <c r="J5" i="12"/>
  <c r="K29" i="2"/>
  <c r="E5" i="2"/>
  <c r="G5" i="2"/>
  <c r="I5" i="2"/>
  <c r="J5" i="2"/>
  <c r="K5" i="2"/>
  <c r="E8" i="2"/>
  <c r="G8" i="2"/>
  <c r="I8" i="2"/>
  <c r="J8" i="2"/>
  <c r="K8" i="2"/>
  <c r="E11" i="2"/>
  <c r="G11" i="2"/>
  <c r="I11" i="2"/>
  <c r="J11" i="2"/>
  <c r="K11" i="2"/>
  <c r="E14" i="2"/>
  <c r="G14" i="2"/>
  <c r="I14" i="2"/>
  <c r="J14" i="2"/>
  <c r="K14" i="2"/>
  <c r="E17" i="2"/>
  <c r="G17" i="2"/>
  <c r="I17" i="2"/>
  <c r="J17" i="2"/>
  <c r="K17" i="2"/>
  <c r="E20" i="2"/>
  <c r="G20" i="2"/>
  <c r="I20" i="2"/>
  <c r="J20" i="2"/>
  <c r="K20" i="2"/>
  <c r="B12" i="1"/>
  <c r="C12" i="1"/>
  <c r="I8" i="1"/>
  <c r="D12" i="1"/>
  <c r="C17" i="1"/>
  <c r="D17" i="1"/>
  <c r="B17" i="1"/>
  <c r="C26" i="1"/>
  <c r="C25" i="1"/>
  <c r="C23" i="1"/>
  <c r="C22" i="1"/>
  <c r="C21" i="1"/>
  <c r="C20" i="1"/>
  <c r="E20" i="1"/>
  <c r="C18" i="1"/>
  <c r="B26" i="1"/>
  <c r="D26" i="1"/>
  <c r="B25" i="1"/>
  <c r="D25" i="1"/>
  <c r="B24" i="1"/>
  <c r="D24" i="1"/>
  <c r="B23" i="1"/>
  <c r="D23" i="1"/>
  <c r="B22" i="1"/>
  <c r="D22" i="1"/>
  <c r="B21" i="1"/>
  <c r="D21" i="1"/>
  <c r="B20" i="1"/>
  <c r="D20" i="1"/>
  <c r="B19" i="1"/>
  <c r="D19" i="1"/>
  <c r="B18" i="1"/>
  <c r="D18" i="1"/>
  <c r="C47" i="3"/>
  <c r="K165" i="12"/>
  <c r="E17" i="1"/>
  <c r="E25" i="1"/>
  <c r="E26" i="1"/>
  <c r="C19" i="1"/>
  <c r="E19" i="1"/>
  <c r="E21" i="1"/>
  <c r="E24" i="1"/>
  <c r="E22" i="1"/>
  <c r="E23" i="1"/>
  <c r="E18" i="1"/>
  <c r="L31" i="2"/>
  <c r="G33" i="2"/>
  <c r="C1" i="1"/>
  <c r="K25" i="2"/>
  <c r="K31" i="2"/>
  <c r="A4" i="1"/>
  <c r="G4" i="1"/>
  <c r="F4" i="1"/>
  <c r="H4" i="1"/>
  <c r="G31" i="1"/>
  <c r="D31" i="1"/>
  <c r="F8" i="1"/>
  <c r="C8" i="1"/>
  <c r="E12" i="1"/>
  <c r="A31" i="1"/>
  <c r="I4" i="1"/>
  <c r="F12" i="1"/>
  <c r="B34" i="1"/>
  <c r="F17" i="1"/>
  <c r="G17" i="1"/>
  <c r="F22" i="1"/>
  <c r="G22" i="1"/>
  <c r="F26" i="1"/>
  <c r="G26" i="1"/>
  <c r="F23" i="1"/>
  <c r="G23" i="1"/>
  <c r="F21" i="1"/>
  <c r="G21" i="1"/>
  <c r="F18" i="1"/>
  <c r="G18" i="1"/>
  <c r="F24" i="1"/>
  <c r="G24" i="1"/>
  <c r="F25" i="1"/>
  <c r="G25" i="1"/>
  <c r="F20" i="1"/>
  <c r="G20" i="1"/>
  <c r="F19" i="1"/>
  <c r="G19" i="1"/>
  <c r="E34" i="1"/>
  <c r="H34" i="1"/>
</calcChain>
</file>

<file path=xl/sharedStrings.xml><?xml version="1.0" encoding="utf-8"?>
<sst xmlns="http://schemas.openxmlformats.org/spreadsheetml/2006/main" count="611" uniqueCount="450">
  <si>
    <t>(%)</t>
  </si>
  <si>
    <t>V. U.</t>
  </si>
  <si>
    <t>T.J.</t>
  </si>
  <si>
    <t>T.S.R.</t>
  </si>
  <si>
    <t>Depr.</t>
  </si>
  <si>
    <t>Juros</t>
  </si>
  <si>
    <t>E.F.(h)</t>
  </si>
  <si>
    <t>(anos)</t>
  </si>
  <si>
    <t>C.C.</t>
  </si>
  <si>
    <t>Pr. C.</t>
  </si>
  <si>
    <t>C.L.</t>
  </si>
  <si>
    <t>P. L.</t>
  </si>
  <si>
    <t>l/cv.h</t>
  </si>
  <si>
    <t>(l/cv.h)</t>
  </si>
  <si>
    <t>P. p.</t>
  </si>
  <si>
    <t>D.p</t>
  </si>
  <si>
    <t>Pn.</t>
  </si>
  <si>
    <t>Rep.</t>
  </si>
  <si>
    <t>M.O./Man.</t>
  </si>
  <si>
    <t>E.V.(h)</t>
  </si>
  <si>
    <t>(h)</t>
  </si>
  <si>
    <t>Tractor</t>
  </si>
  <si>
    <t>(€/h)</t>
  </si>
  <si>
    <t>(€/l)</t>
  </si>
  <si>
    <t>(€)</t>
  </si>
  <si>
    <t>???</t>
  </si>
  <si>
    <t>(h/ano)</t>
  </si>
  <si>
    <t>Pot(cv)-</t>
  </si>
  <si>
    <t>CtoC</t>
  </si>
  <si>
    <t>CtoLubr.</t>
  </si>
  <si>
    <t>EF + EV</t>
  </si>
  <si>
    <t>Cond.</t>
  </si>
  <si>
    <t>Seg+Rec</t>
  </si>
  <si>
    <t>Pr.tractor</t>
  </si>
  <si>
    <t>Ar.</t>
  </si>
  <si>
    <t>L.T.</t>
  </si>
  <si>
    <t>V.T.</t>
  </si>
  <si>
    <t>C.T.C.</t>
  </si>
  <si>
    <t>E.C.</t>
  </si>
  <si>
    <t>C.E.C.</t>
  </si>
  <si>
    <t>NºP.</t>
  </si>
  <si>
    <t>H/ha</t>
  </si>
  <si>
    <t>H/ano</t>
  </si>
  <si>
    <t>(ha)</t>
  </si>
  <si>
    <t>(m)</t>
  </si>
  <si>
    <t>(Km/h)</t>
  </si>
  <si>
    <t>(ha/h)</t>
  </si>
  <si>
    <t>cult.</t>
  </si>
  <si>
    <t>Tt1</t>
  </si>
  <si>
    <t>Tt2</t>
  </si>
  <si>
    <t>atribuídas</t>
  </si>
  <si>
    <t>EFICIÊNCIAS DE CAMPO E VELOCIDADES DE TRABALHO</t>
  </si>
  <si>
    <t>Ec (%)</t>
  </si>
  <si>
    <t>Velocidade (Km/h)</t>
  </si>
  <si>
    <t xml:space="preserve">1 -MÁQUINAS DE PREPARAÇÃO E TRABALHO DO TERRENO </t>
  </si>
  <si>
    <t>- Charrua de aivecas</t>
  </si>
  <si>
    <t>70 - 85</t>
  </si>
  <si>
    <t>4,5 - 7</t>
  </si>
  <si>
    <t xml:space="preserve">-        "     de discos </t>
  </si>
  <si>
    <t xml:space="preserve">75 - 90 </t>
  </si>
  <si>
    <t>- Derregador de 3 ferros</t>
  </si>
  <si>
    <t xml:space="preserve">75 - 85  </t>
  </si>
  <si>
    <t>4    - 5</t>
  </si>
  <si>
    <t>- Desbastador</t>
  </si>
  <si>
    <t xml:space="preserve">75 - 85 </t>
  </si>
  <si>
    <t>2,5 - 3,5</t>
  </si>
  <si>
    <t xml:space="preserve">- Enxada mecânica </t>
  </si>
  <si>
    <t>75 - 85</t>
  </si>
  <si>
    <t>1,5 - 3,5</t>
  </si>
  <si>
    <t>- Escarificador</t>
  </si>
  <si>
    <t>75 - 90</t>
  </si>
  <si>
    <t>5    - 8</t>
  </si>
  <si>
    <t xml:space="preserve">- Vibrocultor </t>
  </si>
  <si>
    <t>3    - 7</t>
  </si>
  <si>
    <t xml:space="preserve">- Fresa </t>
  </si>
  <si>
    <t>80 - 90</t>
  </si>
  <si>
    <t>2    - 4</t>
  </si>
  <si>
    <t>- Grades de dentes e de molas</t>
  </si>
  <si>
    <t>65 - 85</t>
  </si>
  <si>
    <t>5,5 - 9</t>
  </si>
  <si>
    <t xml:space="preserve">- Grades de discos </t>
  </si>
  <si>
    <t>- Rolo</t>
  </si>
  <si>
    <t>5    - 7</t>
  </si>
  <si>
    <t>- Sachador</t>
  </si>
  <si>
    <t>70 - 90</t>
  </si>
  <si>
    <t xml:space="preserve">3    - 8 </t>
  </si>
  <si>
    <t xml:space="preserve">- Sachador rotativo </t>
  </si>
  <si>
    <t>7 - 12</t>
  </si>
  <si>
    <t xml:space="preserve">- Subsolador </t>
  </si>
  <si>
    <t>1  - 5</t>
  </si>
  <si>
    <t>- Dístribuidor centrífugo</t>
  </si>
  <si>
    <t>40 - 50</t>
  </si>
  <si>
    <t>6    - 10</t>
  </si>
  <si>
    <t>50 - 75</t>
  </si>
  <si>
    <t>45 - 65</t>
  </si>
  <si>
    <t xml:space="preserve">- Espalhadores de estrume </t>
  </si>
  <si>
    <t>3    - 5</t>
  </si>
  <si>
    <t>- Distribuidores de estrume</t>
  </si>
  <si>
    <t>4    - 6</t>
  </si>
  <si>
    <t>- Plantador de batata de alimentação manual</t>
  </si>
  <si>
    <t>55 - 65</t>
  </si>
  <si>
    <t xml:space="preserve">1,5 - 2,5 </t>
  </si>
  <si>
    <t xml:space="preserve">-        "        "       "      "          "          automática  </t>
  </si>
  <si>
    <t>- Pulverizador a granel</t>
  </si>
  <si>
    <t>40 - 60</t>
  </si>
  <si>
    <t xml:space="preserve">5    - 8 </t>
  </si>
  <si>
    <t>- Polvilhadores</t>
  </si>
  <si>
    <t>5    - 15</t>
  </si>
  <si>
    <t>- Semeador em linhas</t>
  </si>
  <si>
    <t>65 - 80</t>
  </si>
  <si>
    <t>4    - 9</t>
  </si>
  <si>
    <t>-        "         de precisão</t>
  </si>
  <si>
    <t>60 - 80</t>
  </si>
  <si>
    <t>- Transplantadores</t>
  </si>
  <si>
    <t>0,3 - 1,5</t>
  </si>
  <si>
    <t>- Arrancador de batatas</t>
  </si>
  <si>
    <t>- Arrancador-carregador de batatas</t>
  </si>
  <si>
    <t>65 - 75</t>
  </si>
  <si>
    <t>1,5 - 2,5</t>
  </si>
  <si>
    <t>- Arrancador de beterrabas</t>
  </si>
  <si>
    <t>45 - 55</t>
  </si>
  <si>
    <t>3,5 - 4,5</t>
  </si>
  <si>
    <t xml:space="preserve">- Arrancador-carregador de beterrabas </t>
  </si>
  <si>
    <t>45 - 60</t>
  </si>
  <si>
    <t xml:space="preserve">4    - 5 </t>
  </si>
  <si>
    <t xml:space="preserve">- Ceifeira-debulhadora automotriz  </t>
  </si>
  <si>
    <t>3    - 6</t>
  </si>
  <si>
    <t xml:space="preserve">- Ceifeira-debulhadora rebocada </t>
  </si>
  <si>
    <t>2,5 - 5</t>
  </si>
  <si>
    <t>- Colhedor-descamisador de milho</t>
  </si>
  <si>
    <t>55 - 70</t>
  </si>
  <si>
    <t>- Colhedor de forragens</t>
  </si>
  <si>
    <t xml:space="preserve">- Colhedor-recortador de forragens </t>
  </si>
  <si>
    <t>- Enfardadeira em feno</t>
  </si>
  <si>
    <t xml:space="preserve">3    - 7  </t>
  </si>
  <si>
    <t xml:space="preserve">-           "            "  palha </t>
  </si>
  <si>
    <t>55 - 75</t>
  </si>
  <si>
    <t>- Virador</t>
  </si>
  <si>
    <t>6    - 8</t>
  </si>
  <si>
    <t xml:space="preserve">- Virador-juntador </t>
  </si>
  <si>
    <t>65 - 90</t>
  </si>
  <si>
    <t xml:space="preserve">- Em carga </t>
  </si>
  <si>
    <t>4    - 12</t>
  </si>
  <si>
    <t xml:space="preserve">- Sem carga </t>
  </si>
  <si>
    <t xml:space="preserve">     clássico</t>
  </si>
  <si>
    <t xml:space="preserve">     de distribuição a granel</t>
  </si>
  <si>
    <t xml:space="preserve">Adaptado de:   </t>
  </si>
  <si>
    <t>C. CULPIN - Profitable Farm Mechanization</t>
  </si>
  <si>
    <t>D. HUNT - Farm Power and Machinery Management</t>
  </si>
  <si>
    <t>P. CANDELON - Les Machines Agricoles</t>
  </si>
  <si>
    <t>F. C. CARY - Tempos-Padrões de Trabalho para Culturas Arvenses de Sequeiro no Alto Alentejo</t>
  </si>
  <si>
    <t>Catálogos e especificações de fabricantes de material agrícola</t>
  </si>
  <si>
    <t>CNEMMA - Livre du Maitre - Tome 3</t>
  </si>
  <si>
    <t>5 - 8</t>
  </si>
  <si>
    <t>7 - 7</t>
  </si>
  <si>
    <t>4 - 5</t>
  </si>
  <si>
    <t>3 - 10</t>
  </si>
  <si>
    <t>calcudas</t>
  </si>
  <si>
    <t>Equipamentos</t>
  </si>
  <si>
    <t>GRUPO I</t>
  </si>
  <si>
    <t>Charruas, escarificadores, grade de dentes, sachadores, rolos, derregadores, plantadores de batata de alimentação manual e tararas</t>
  </si>
  <si>
    <t>12+</t>
  </si>
  <si>
    <t>GRUPO II</t>
  </si>
  <si>
    <t>Grades de discos, semeadores, ceifeiras-atadeiras, secadores de grão, misturadoras e distribuidoras de alimento</t>
  </si>
  <si>
    <t>GRUPO III</t>
  </si>
  <si>
    <t>Ceifeiras debulhadoras, enfardadeiras, cultiva-dores rotativos, carregadores hidráulicos</t>
  </si>
  <si>
    <t>GRUPO IV</t>
  </si>
  <si>
    <t xml:space="preserve">Gadanheiras, colhedores de forragens, viradores-juntadores, corta-sebes, plantadores e transplantadores semi-automáticos para batatas, semeador de beterraba, mondador mecânico </t>
  </si>
  <si>
    <t>GRUPO V</t>
  </si>
  <si>
    <t>Distribuidores de adubos, semeadores-fertilizadores, distribuidores de estrume, arrancadores de batata, pulverizadores, colhedores encordoadores para ervilha.</t>
  </si>
  <si>
    <t>VÁRIOS</t>
  </si>
  <si>
    <t>Colhedores de beterraba</t>
  </si>
  <si>
    <t>Colhedores de batata</t>
  </si>
  <si>
    <t xml:space="preserve"> -</t>
  </si>
  <si>
    <t>Máquinas de ordenha</t>
  </si>
  <si>
    <t xml:space="preserve"> - </t>
  </si>
  <si>
    <t xml:space="preserve"> -  </t>
  </si>
  <si>
    <t>EQUIPAMENTOS:</t>
  </si>
  <si>
    <t>Tractores</t>
  </si>
  <si>
    <t>Motores Eléctricos</t>
  </si>
  <si>
    <t>FONTE: CULPIN, C. (1968) Profitable Farm Mechanisation. Crosby LocKwood &amp; Son.</t>
  </si>
  <si>
    <t xml:space="preserve">               Número de horas de  utilização anual</t>
  </si>
  <si>
    <t xml:space="preserve">       Número de horas de  utilização anual</t>
  </si>
  <si>
    <t>ENCARGOS ANUAIS COM REPARAÇÕES</t>
  </si>
  <si>
    <t>TIPO DE MATEIAL</t>
  </si>
  <si>
    <t>Charruas, escarificadores, vibrocultores, charruas-grade</t>
  </si>
  <si>
    <t xml:space="preserve">0,04  </t>
  </si>
  <si>
    <t xml:space="preserve">0,07  </t>
  </si>
  <si>
    <t>Grades de discos e de bicos</t>
  </si>
  <si>
    <t xml:space="preserve">0,05  </t>
  </si>
  <si>
    <t>Crosskill</t>
  </si>
  <si>
    <t xml:space="preserve">0,02  </t>
  </si>
  <si>
    <t xml:space="preserve">0,01  </t>
  </si>
  <si>
    <t>Rolos</t>
  </si>
  <si>
    <t>Sachadores</t>
  </si>
  <si>
    <t>Amontoadores</t>
  </si>
  <si>
    <t>Material para tratamento fitossanitário</t>
  </si>
  <si>
    <t>Distribuidores de adubos</t>
  </si>
  <si>
    <t>Semeadores</t>
  </si>
  <si>
    <t xml:space="preserve">0,03  </t>
  </si>
  <si>
    <t>Plantadores</t>
  </si>
  <si>
    <t>Gadanheiras</t>
  </si>
  <si>
    <t>Viradores</t>
  </si>
  <si>
    <t>Viradores-juntadores</t>
  </si>
  <si>
    <t>Colhedores-recortadores</t>
  </si>
  <si>
    <t xml:space="preserve">0,08  </t>
  </si>
  <si>
    <t>Enfardadeira</t>
  </si>
  <si>
    <t>Ceifeiras-debulhadoras</t>
  </si>
  <si>
    <t>Arrancadores</t>
  </si>
  <si>
    <t xml:space="preserve">0,1  </t>
  </si>
  <si>
    <t>Espalhadores de estrume</t>
  </si>
  <si>
    <t>Pás hidráulicas</t>
  </si>
  <si>
    <t>Veículos agrários</t>
  </si>
  <si>
    <t>---</t>
  </si>
  <si>
    <t>Tractores diesel a rodas (40-60cv;30-45kW)</t>
  </si>
  <si>
    <t>( % DO VALOR EM NOVO )</t>
  </si>
  <si>
    <t>Análise de encargos com a utilização das máquinas agrícolas". IHERA</t>
  </si>
  <si>
    <t>Rolagem</t>
  </si>
  <si>
    <t>Vibrocultor</t>
  </si>
  <si>
    <t>Sacha</t>
  </si>
  <si>
    <t>Subsolagem</t>
  </si>
  <si>
    <t>Fresa</t>
  </si>
  <si>
    <t>Máquina de desensilar</t>
  </si>
  <si>
    <t>Arrancador-alinhador</t>
  </si>
  <si>
    <t>Lavouras:</t>
  </si>
  <si>
    <t>Charrua ??</t>
  </si>
  <si>
    <t>...</t>
  </si>
  <si>
    <t>Grade de discos ???</t>
  </si>
  <si>
    <t>Mobilizações secundárias:</t>
  </si>
  <si>
    <t>Sem./Planta/Transp:</t>
  </si>
  <si>
    <t>Semeador ???</t>
  </si>
  <si>
    <t>Fertilizações:</t>
  </si>
  <si>
    <t>Distribuidor centrifugo ???</t>
  </si>
  <si>
    <t>Tratamentos:</t>
  </si>
  <si>
    <t>Pulverizador ???</t>
  </si>
  <si>
    <t>Colheita:</t>
  </si>
  <si>
    <t>Colhedor de forrragem ???</t>
  </si>
  <si>
    <t>Reboque ???</t>
  </si>
  <si>
    <t>Transportes:</t>
  </si>
  <si>
    <t>Outras operações:</t>
  </si>
  <si>
    <t>(voltar ao índice)</t>
  </si>
  <si>
    <t>horas/ano</t>
  </si>
  <si>
    <t>2 - MÁQUINAS DE SEMENTEIRA, FERTILIZAÇÃO, DEFESA E PROTECÇÃO DAS CULTURAS</t>
  </si>
  <si>
    <t xml:space="preserve">3 - MÁQUINAS DE COLHEITA </t>
  </si>
  <si>
    <t>4 - TRANSPORTES</t>
  </si>
  <si>
    <t>Grade de dentes</t>
  </si>
  <si>
    <t>Rolo</t>
  </si>
  <si>
    <t>Colhedor de faca de corte duplo</t>
  </si>
  <si>
    <t>Custos para diferentes horas / ano</t>
  </si>
  <si>
    <t>Pot. Atribída</t>
  </si>
  <si>
    <t>(cv)</t>
  </si>
  <si>
    <t>Pot, em cv</t>
  </si>
  <si>
    <t>Preço, em €</t>
  </si>
  <si>
    <t xml:space="preserve">Tractor de 2RM </t>
  </si>
  <si>
    <t>Tractor de 4M</t>
  </si>
  <si>
    <t xml:space="preserve">Tractor de lagartas </t>
  </si>
  <si>
    <t xml:space="preserve">          Potência necessária, em cv -</t>
  </si>
  <si>
    <t>Escolha da potência de um tractor</t>
  </si>
  <si>
    <t>OPERAÇÕES CULTURAIS / EQUIPAMENTOS</t>
  </si>
  <si>
    <t>Características da alfaia</t>
  </si>
  <si>
    <t>Res.esp.do solo</t>
  </si>
  <si>
    <t>FTr - Bin</t>
  </si>
  <si>
    <t>Potência</t>
  </si>
  <si>
    <t>NºUn - Cap</t>
  </si>
  <si>
    <t>Lg Un. (m)</t>
  </si>
  <si>
    <t>Lg Tr (m)</t>
  </si>
  <si>
    <t>Pr Tr (m)</t>
  </si>
  <si>
    <t>(N/dm2)</t>
  </si>
  <si>
    <t>km/h</t>
  </si>
  <si>
    <t xml:space="preserve"> kN - mN</t>
  </si>
  <si>
    <t>c.v.</t>
  </si>
  <si>
    <t>kW</t>
  </si>
  <si>
    <t>Lavouras</t>
  </si>
  <si>
    <t>Charrua - aiveca</t>
  </si>
  <si>
    <t>Charrua - discos</t>
  </si>
  <si>
    <t>Subsolador</t>
  </si>
  <si>
    <t>Escarificação</t>
  </si>
  <si>
    <t>Escarificador</t>
  </si>
  <si>
    <t>Gradagem</t>
  </si>
  <si>
    <t>Grade discos montada</t>
  </si>
  <si>
    <t>2C 16D</t>
  </si>
  <si>
    <t>2C 18 D</t>
  </si>
  <si>
    <t>Grade discos - off-set</t>
  </si>
  <si>
    <t>18 D</t>
  </si>
  <si>
    <t>20 D</t>
  </si>
  <si>
    <t>24 D</t>
  </si>
  <si>
    <t>Grade discos rebocada</t>
  </si>
  <si>
    <t>28 D</t>
  </si>
  <si>
    <t>30 D</t>
  </si>
  <si>
    <t>36 D</t>
  </si>
  <si>
    <t>Grade discos "tandem"</t>
  </si>
  <si>
    <t>4C 32 D</t>
  </si>
  <si>
    <t>4C 36 D</t>
  </si>
  <si>
    <t>4C 40 D</t>
  </si>
  <si>
    <t>Fresagem</t>
  </si>
  <si>
    <t>Sachador (2 L)</t>
  </si>
  <si>
    <t>(3 L)</t>
  </si>
  <si>
    <t>(4 L)</t>
  </si>
  <si>
    <t>(5 L)</t>
  </si>
  <si>
    <t>(6 L)</t>
  </si>
  <si>
    <t>Distribuidores  e localizadores de adubos</t>
  </si>
  <si>
    <t>Distribuidores  tipo clássico</t>
  </si>
  <si>
    <t>Distribuidores montados (200 L)</t>
  </si>
  <si>
    <t>(300 L)</t>
  </si>
  <si>
    <t>(400 L)</t>
  </si>
  <si>
    <t>(600 L)</t>
  </si>
  <si>
    <t>Distribuidores rebocados (1000 L)</t>
  </si>
  <si>
    <t>(2000 L)</t>
  </si>
  <si>
    <t>(4000 L)</t>
  </si>
  <si>
    <t>Localizadores (1 L)</t>
  </si>
  <si>
    <t>(2 L)</t>
  </si>
  <si>
    <t>Sementeira</t>
  </si>
  <si>
    <t>Semeadores em linhas</t>
  </si>
  <si>
    <t>Semeadores monogrão (4L)</t>
  </si>
  <si>
    <t>4 L</t>
  </si>
  <si>
    <t>6 L</t>
  </si>
  <si>
    <t>(8 L)</t>
  </si>
  <si>
    <t>8 L</t>
  </si>
  <si>
    <t>Sementeira Directa</t>
  </si>
  <si>
    <t>Semavator</t>
  </si>
  <si>
    <t>Plantação de Batata</t>
  </si>
  <si>
    <t>Plantador de batata (2 L)</t>
  </si>
  <si>
    <t>Pulverizadores</t>
  </si>
  <si>
    <t>Pulverizadores montados (200 L)</t>
  </si>
  <si>
    <t>Pulverizadores rebocados (1000 L)</t>
  </si>
  <si>
    <t>(1500 L)</t>
  </si>
  <si>
    <t>Gadanheiras  barra de corte</t>
  </si>
  <si>
    <t xml:space="preserve">Gad.condicionadoras com barra de corte </t>
  </si>
  <si>
    <t>Gadanheiras rotativas de discos</t>
  </si>
  <si>
    <t>Gadanheiras rotativas de tambores (2 T)</t>
  </si>
  <si>
    <t>(4 T)</t>
  </si>
  <si>
    <t>Viradores juntadores</t>
  </si>
  <si>
    <t>Virador juntador de tambor</t>
  </si>
  <si>
    <t>Virador juntador girassol</t>
  </si>
  <si>
    <t>Enfardadeiras</t>
  </si>
  <si>
    <t>Enfardadeiras volantes de média pressão</t>
  </si>
  <si>
    <t>Enfardadeiras volantes de alta pressão</t>
  </si>
  <si>
    <t>Enfardadeiras de fardos redondos</t>
  </si>
  <si>
    <t>Colhedores de forragens</t>
  </si>
  <si>
    <t>Colhedor de facas de corte simples</t>
  </si>
  <si>
    <t>Colhedor de milho (1 L)</t>
  </si>
  <si>
    <t>Colheita de Beterraba</t>
  </si>
  <si>
    <t>Descoroador</t>
  </si>
  <si>
    <t>Colheita da Batata</t>
  </si>
  <si>
    <t>Arrancador (1 L)</t>
  </si>
  <si>
    <t>Colheita de Cereais</t>
  </si>
  <si>
    <t>Ceifeira debulhadora à t.d.f.</t>
  </si>
  <si>
    <t>Trituradores de residuos</t>
  </si>
  <si>
    <t>Trituradores</t>
  </si>
  <si>
    <t>Reboques</t>
  </si>
  <si>
    <t>Reboques (3.5 T)</t>
  </si>
  <si>
    <t>(4.5 T)</t>
  </si>
  <si>
    <t>(5.3 T)</t>
  </si>
  <si>
    <t>(6.0 T)</t>
  </si>
  <si>
    <t>(7.0 T)</t>
  </si>
  <si>
    <t>(8.0 T)</t>
  </si>
  <si>
    <t>(9.0 T)</t>
  </si>
  <si>
    <t>(10.5 T)</t>
  </si>
  <si>
    <t>(12.5 T)</t>
  </si>
  <si>
    <t>RESISTÊNCIA OFERECIDA PELA CHARRUA</t>
  </si>
  <si>
    <t>(em Newton/dm2 e Kg/cm2 de secção transversal de lavoura)</t>
  </si>
  <si>
    <t>SOLOS</t>
  </si>
  <si>
    <t>N/dm2</t>
  </si>
  <si>
    <t>Kg/cm2</t>
  </si>
  <si>
    <t>Solo arenoso</t>
  </si>
  <si>
    <t>&lt;196</t>
  </si>
  <si>
    <t>&lt;0,20</t>
  </si>
  <si>
    <t>Solo franco, húmido</t>
  </si>
  <si>
    <t>196 - 294</t>
  </si>
  <si>
    <t>0,20 - 0,30</t>
  </si>
  <si>
    <t>Solo franco, seco</t>
  </si>
  <si>
    <t>294 - 343</t>
  </si>
  <si>
    <t>0,30 - 0,35</t>
  </si>
  <si>
    <t>Solo franco-limoso, húmido</t>
  </si>
  <si>
    <t>343 - 392</t>
  </si>
  <si>
    <t>0,35 - 0,40</t>
  </si>
  <si>
    <t>Solo franco-limoso, seco</t>
  </si>
  <si>
    <t>392 - 490</t>
  </si>
  <si>
    <t>0,40 - 0,50</t>
  </si>
  <si>
    <t>Solo franco-argiloso, húmido</t>
  </si>
  <si>
    <t xml:space="preserve">Solo franco-argiloso, seco  </t>
  </si>
  <si>
    <t>490 - 539</t>
  </si>
  <si>
    <t>0,50 - 0,55</t>
  </si>
  <si>
    <t>Solo argiloso, seco</t>
  </si>
  <si>
    <t>637 - 686</t>
  </si>
  <si>
    <t>0,65 - 0,70</t>
  </si>
  <si>
    <t>Solo argiloso, enrelvado</t>
  </si>
  <si>
    <t>686 - 784</t>
  </si>
  <si>
    <t>0,70 - 0,80</t>
  </si>
  <si>
    <t>Barros fortes, húmidos</t>
  </si>
  <si>
    <t>1087 - 1225</t>
  </si>
  <si>
    <t>1,10 - 1,25</t>
  </si>
  <si>
    <t>Barros fortes, secos</t>
  </si>
  <si>
    <t>1225 - 1372</t>
  </si>
  <si>
    <t>1,25 - 1,40</t>
  </si>
  <si>
    <t>FONTE:</t>
  </si>
  <si>
    <t>Catálogos e especificações de fabricantes de tractores e outro material agrícola.</t>
  </si>
  <si>
    <t>R. BAINER, R. A. KEPNER e E. L. BARGER - Principles of Farm Machinery. John Wiley &amp; Sons, Inc. New York. 1955</t>
  </si>
  <si>
    <t>W. N. BATES - Mechanization of Tropical Crops. Temple Press Ltd. London. 1957</t>
  </si>
  <si>
    <t>(3000 L)</t>
  </si>
  <si>
    <t xml:space="preserve">1- Operações culturais, horas /ano de utilização do tractor e potências atribuídas aos equipamentos (Escolha técnica) </t>
  </si>
  <si>
    <t>CtoRep.</t>
  </si>
  <si>
    <t>2- Determinação do custo / hora do tractor escolhido e comparação com um custo de referência (Escolha económica)</t>
  </si>
  <si>
    <t>PVP (€)-</t>
  </si>
  <si>
    <t>Preço aproximado do tractores e seu custo / hora, para uma intensidade de utilização anual de 400 h. (IHERA)</t>
  </si>
  <si>
    <t>Cto/h, em €</t>
  </si>
  <si>
    <t xml:space="preserve">                   Relação entre o cto/h do tractor escolhido e o cto/h de um tractor idêntico, com uma intensidade de utilização anual de 400 h</t>
  </si>
  <si>
    <t xml:space="preserve">          Ajuda de subvenção (%)-</t>
  </si>
  <si>
    <t>TRATOR</t>
  </si>
  <si>
    <r>
      <t>ESTIMATIVA DO NÚMERO DE ANOS DE VIDA ÚTIL DAS MÁQUINAS</t>
    </r>
    <r>
      <rPr>
        <sz val="10"/>
        <rFont val="Arial"/>
        <family val="2"/>
      </rPr>
      <t xml:space="preserve"> </t>
    </r>
  </si>
  <si>
    <t>Vel. Trab.</t>
  </si>
  <si>
    <t>Rd (Tr-TDF)</t>
  </si>
  <si>
    <t>Equipamentos de tracção</t>
  </si>
  <si>
    <t>TxJuros(%):</t>
  </si>
  <si>
    <t>TSR (%):</t>
  </si>
  <si>
    <t>CCb(l/cv.h):</t>
  </si>
  <si>
    <t>PrCb(€/L):</t>
  </si>
  <si>
    <t>CLb(l/cv.h):</t>
  </si>
  <si>
    <t>PrLb(€/L):</t>
  </si>
  <si>
    <t>PrPn(€):</t>
  </si>
  <si>
    <t>DrPn(h):</t>
  </si>
  <si>
    <t>Rp (%):</t>
  </si>
  <si>
    <t>Man(%Rp):</t>
  </si>
  <si>
    <t>Cond(€/h):</t>
  </si>
  <si>
    <t>ValAtr-</t>
  </si>
  <si>
    <t>ValRef-</t>
  </si>
  <si>
    <t>ID</t>
  </si>
  <si>
    <t>Designação</t>
  </si>
  <si>
    <t>Pot</t>
  </si>
  <si>
    <t>PrRef</t>
  </si>
  <si>
    <t>PrAtr</t>
  </si>
  <si>
    <t>Nº Ref</t>
  </si>
  <si>
    <t>Nº Atr</t>
  </si>
  <si>
    <t>h/ano</t>
  </si>
  <si>
    <t>Amort</t>
  </si>
  <si>
    <t>Sg+Rc</t>
  </si>
  <si>
    <t>EF</t>
  </si>
  <si>
    <t>CtCb</t>
  </si>
  <si>
    <t>CtLb</t>
  </si>
  <si>
    <t>CtPn</t>
  </si>
  <si>
    <t>CtRp</t>
  </si>
  <si>
    <t>CtMn</t>
  </si>
  <si>
    <t>CtCd</t>
  </si>
  <si>
    <t>EV</t>
  </si>
  <si>
    <t>EF+EV</t>
  </si>
  <si>
    <t>(horas)</t>
  </si>
  <si>
    <t>Tractor 2RM</t>
  </si>
  <si>
    <t>Tractor 4RM</t>
  </si>
  <si>
    <t>Tractor rastos</t>
  </si>
  <si>
    <t>DETERMINAÇÃO DO Nº DE HORAS / ANO DO TRACTOR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</si>
</sst>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9" x14ac:knownFonts="1">
    <font>
      <sz val="10"/>
      <name val="MS Sans Serif"/>
    </font>
    <font>
      <sz val="8"/>
      <name val="MS Sans Serif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MS Sans Serif"/>
    </font>
    <font>
      <b/>
      <sz val="12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b/>
      <u/>
      <sz val="8"/>
      <color indexed="12"/>
      <name val="Arial"/>
      <family val="2"/>
    </font>
    <font>
      <b/>
      <sz val="8"/>
      <name val="MS Sans Serif"/>
    </font>
    <font>
      <b/>
      <u/>
      <sz val="9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4" fillId="0" borderId="1" xfId="0" applyFont="1" applyBorder="1"/>
    <xf numFmtId="0" fontId="4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0" xfId="0" applyFont="1" applyAlignment="1">
      <alignment horizontal="justify" vertical="top" wrapText="1"/>
    </xf>
    <xf numFmtId="0" fontId="4" fillId="0" borderId="0" xfId="0" applyFont="1" applyAlignment="1">
      <alignment horizontal="center" vertical="top" wrapText="1"/>
    </xf>
    <xf numFmtId="16" fontId="4" fillId="0" borderId="0" xfId="0" quotePrefix="1" applyNumberFormat="1" applyFont="1" applyAlignment="1">
      <alignment horizontal="center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center" vertical="top" wrapText="1"/>
    </xf>
    <xf numFmtId="1" fontId="4" fillId="0" borderId="0" xfId="0" quotePrefix="1" applyNumberFormat="1" applyFont="1" applyAlignment="1">
      <alignment horizontal="center"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4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justify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9" fillId="0" borderId="0" xfId="1" applyFont="1" applyAlignment="1" applyProtection="1">
      <alignment horizontal="center"/>
    </xf>
    <xf numFmtId="0" fontId="4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7" fillId="0" borderId="5" xfId="1" applyFont="1" applyBorder="1" applyAlignment="1" applyProtection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4" fillId="0" borderId="0" xfId="1" applyFont="1" applyAlignment="1" applyProtection="1"/>
    <xf numFmtId="1" fontId="13" fillId="0" borderId="0" xfId="0" applyNumberFormat="1" applyFont="1" applyAlignment="1">
      <alignment horizontal="left"/>
    </xf>
    <xf numFmtId="1" fontId="11" fillId="0" borderId="0" xfId="1" applyNumberFormat="1" applyFont="1" applyAlignment="1" applyProtection="1">
      <alignment horizontal="center"/>
    </xf>
    <xf numFmtId="1" fontId="12" fillId="2" borderId="0" xfId="0" applyNumberFormat="1" applyFont="1" applyFill="1" applyAlignment="1" applyProtection="1">
      <alignment horizontal="center"/>
    </xf>
    <xf numFmtId="0" fontId="11" fillId="0" borderId="0" xfId="1" applyFont="1" applyAlignment="1" applyProtection="1">
      <alignment horizontal="center"/>
    </xf>
    <xf numFmtId="0" fontId="12" fillId="0" borderId="0" xfId="0" applyFont="1"/>
    <xf numFmtId="0" fontId="13" fillId="0" borderId="0" xfId="0" applyFont="1"/>
    <xf numFmtId="1" fontId="12" fillId="0" borderId="0" xfId="0" applyNumberFormat="1" applyFont="1" applyAlignment="1">
      <alignment horizontal="center"/>
    </xf>
    <xf numFmtId="1" fontId="13" fillId="0" borderId="0" xfId="0" applyNumberFormat="1" applyFont="1" applyAlignment="1" applyProtection="1">
      <alignment horizontal="center"/>
    </xf>
    <xf numFmtId="0" fontId="13" fillId="0" borderId="0" xfId="0" applyFont="1" applyAlignment="1">
      <alignment horizontal="center"/>
    </xf>
    <xf numFmtId="1" fontId="13" fillId="0" borderId="0" xfId="0" applyNumberFormat="1" applyFont="1" applyAlignment="1">
      <alignment horizontal="center"/>
    </xf>
    <xf numFmtId="1" fontId="12" fillId="0" borderId="0" xfId="0" applyNumberFormat="1" applyFont="1" applyAlignment="1" applyProtection="1">
      <alignment horizontal="center"/>
    </xf>
    <xf numFmtId="2" fontId="12" fillId="0" borderId="0" xfId="0" applyNumberFormat="1" applyFont="1" applyAlignment="1" applyProtection="1">
      <alignment horizontal="center"/>
    </xf>
    <xf numFmtId="164" fontId="12" fillId="0" borderId="0" xfId="0" applyNumberFormat="1" applyFont="1" applyAlignment="1" applyProtection="1">
      <alignment horizontal="center"/>
    </xf>
    <xf numFmtId="0" fontId="12" fillId="0" borderId="0" xfId="0" applyFont="1" applyAlignment="1">
      <alignment horizontal="center"/>
    </xf>
    <xf numFmtId="1" fontId="13" fillId="0" borderId="0" xfId="0" applyNumberFormat="1" applyFont="1" applyAlignment="1">
      <alignment horizontal="right"/>
    </xf>
    <xf numFmtId="2" fontId="13" fillId="0" borderId="0" xfId="0" applyNumberFormat="1" applyFont="1" applyAlignment="1" applyProtection="1">
      <alignment horizontal="center"/>
    </xf>
    <xf numFmtId="165" fontId="12" fillId="0" borderId="0" xfId="0" applyNumberFormat="1" applyFont="1" applyAlignment="1" applyProtection="1">
      <alignment horizontal="center"/>
    </xf>
    <xf numFmtId="2" fontId="12" fillId="0" borderId="0" xfId="0" applyNumberFormat="1" applyFont="1" applyAlignment="1">
      <alignment horizontal="center"/>
    </xf>
    <xf numFmtId="2" fontId="13" fillId="3" borderId="0" xfId="0" applyNumberFormat="1" applyFont="1" applyFill="1" applyAlignment="1">
      <alignment horizontal="center"/>
    </xf>
    <xf numFmtId="2" fontId="13" fillId="0" borderId="0" xfId="0" applyNumberFormat="1" applyFont="1" applyAlignment="1">
      <alignment horizontal="center"/>
    </xf>
    <xf numFmtId="1" fontId="13" fillId="0" borderId="0" xfId="0" applyNumberFormat="1" applyFont="1" applyAlignment="1" applyProtection="1">
      <alignment horizontal="left"/>
    </xf>
    <xf numFmtId="0" fontId="12" fillId="4" borderId="0" xfId="0" applyFont="1" applyFill="1"/>
    <xf numFmtId="1" fontId="13" fillId="4" borderId="0" xfId="0" applyNumberFormat="1" applyFont="1" applyFill="1" applyAlignment="1">
      <alignment horizontal="center"/>
    </xf>
    <xf numFmtId="0" fontId="12" fillId="5" borderId="0" xfId="0" applyFont="1" applyFill="1"/>
    <xf numFmtId="1" fontId="13" fillId="5" borderId="0" xfId="0" applyNumberFormat="1" applyFont="1" applyFill="1" applyAlignment="1">
      <alignment horizontal="center"/>
    </xf>
    <xf numFmtId="1" fontId="12" fillId="5" borderId="0" xfId="0" applyNumberFormat="1" applyFont="1" applyFill="1" applyAlignment="1" applyProtection="1">
      <alignment horizontal="center"/>
    </xf>
    <xf numFmtId="0" fontId="12" fillId="6" borderId="0" xfId="0" applyFont="1" applyFill="1"/>
    <xf numFmtId="1" fontId="13" fillId="6" borderId="0" xfId="0" applyNumberFormat="1" applyFont="1" applyFill="1" applyAlignment="1">
      <alignment horizontal="center"/>
    </xf>
    <xf numFmtId="1" fontId="13" fillId="6" borderId="0" xfId="0" applyNumberFormat="1" applyFont="1" applyFill="1" applyAlignment="1" applyProtection="1">
      <alignment horizontal="center"/>
    </xf>
    <xf numFmtId="1" fontId="12" fillId="4" borderId="0" xfId="0" applyNumberFormat="1" applyFont="1" applyFill="1" applyAlignment="1">
      <alignment horizontal="center"/>
    </xf>
    <xf numFmtId="1" fontId="12" fillId="4" borderId="0" xfId="0" applyNumberFormat="1" applyFont="1" applyFill="1" applyAlignment="1" applyProtection="1">
      <alignment horizontal="center"/>
    </xf>
    <xf numFmtId="0" fontId="12" fillId="4" borderId="0" xfId="0" applyFont="1" applyFill="1" applyAlignment="1">
      <alignment horizontal="center"/>
    </xf>
    <xf numFmtId="1" fontId="12" fillId="5" borderId="0" xfId="0" applyNumberFormat="1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1" fontId="12" fillId="6" borderId="0" xfId="0" applyNumberFormat="1" applyFont="1" applyFill="1" applyAlignment="1">
      <alignment horizontal="center"/>
    </xf>
    <xf numFmtId="1" fontId="12" fillId="6" borderId="0" xfId="0" applyNumberFormat="1" applyFont="1" applyFill="1" applyAlignment="1" applyProtection="1">
      <alignment horizontal="center"/>
    </xf>
    <xf numFmtId="0" fontId="12" fillId="6" borderId="0" xfId="0" applyFont="1" applyFill="1" applyAlignment="1">
      <alignment horizontal="center"/>
    </xf>
    <xf numFmtId="2" fontId="13" fillId="3" borderId="0" xfId="0" applyNumberFormat="1" applyFont="1" applyFill="1" applyAlignment="1" applyProtection="1">
      <alignment horizontal="center"/>
    </xf>
    <xf numFmtId="2" fontId="12" fillId="0" borderId="0" xfId="0" applyNumberFormat="1" applyFont="1"/>
    <xf numFmtId="0" fontId="13" fillId="0" borderId="0" xfId="0" applyFont="1" applyAlignment="1">
      <alignment horizontal="right"/>
    </xf>
    <xf numFmtId="1" fontId="13" fillId="7" borderId="7" xfId="0" applyNumberFormat="1" applyFont="1" applyFill="1" applyBorder="1" applyAlignment="1">
      <alignment horizontal="center"/>
    </xf>
    <xf numFmtId="0" fontId="11" fillId="0" borderId="0" xfId="1" applyFont="1" applyAlignment="1" applyProtection="1">
      <alignment horizontal="center" vertical="center"/>
    </xf>
    <xf numFmtId="0" fontId="12" fillId="0" borderId="0" xfId="0" applyFont="1" applyAlignment="1">
      <alignment vertical="center"/>
    </xf>
    <xf numFmtId="1" fontId="13" fillId="7" borderId="8" xfId="0" applyNumberFormat="1" applyFont="1" applyFill="1" applyBorder="1" applyAlignment="1">
      <alignment horizontal="center"/>
    </xf>
    <xf numFmtId="0" fontId="9" fillId="0" borderId="0" xfId="1" applyFont="1" applyAlignment="1" applyProtection="1">
      <alignment horizontal="left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0" xfId="1" applyFont="1" applyAlignment="1" applyProtection="1">
      <alignment horizontal="left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justify" vertical="center" wrapText="1"/>
    </xf>
    <xf numFmtId="0" fontId="15" fillId="0" borderId="0" xfId="0" applyFont="1" applyAlignment="1">
      <alignment horizontal="justify" vertical="center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1" applyFont="1" applyBorder="1" applyAlignment="1" applyProtection="1">
      <alignment horizontal="center" wrapText="1"/>
    </xf>
    <xf numFmtId="0" fontId="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wrapText="1"/>
    </xf>
    <xf numFmtId="2" fontId="4" fillId="0" borderId="4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center" wrapText="1"/>
    </xf>
    <xf numFmtId="164" fontId="4" fillId="0" borderId="14" xfId="0" applyNumberFormat="1" applyFont="1" applyBorder="1" applyAlignment="1">
      <alignment horizontal="center" wrapText="1"/>
    </xf>
    <xf numFmtId="1" fontId="4" fillId="0" borderId="14" xfId="0" applyNumberFormat="1" applyFont="1" applyBorder="1" applyAlignment="1">
      <alignment horizontal="center" wrapText="1"/>
    </xf>
    <xf numFmtId="1" fontId="2" fillId="0" borderId="14" xfId="0" applyNumberFormat="1" applyFont="1" applyBorder="1" applyAlignment="1">
      <alignment horizontal="center" wrapText="1"/>
    </xf>
    <xf numFmtId="0" fontId="4" fillId="0" borderId="13" xfId="0" applyFont="1" applyBorder="1" applyAlignment="1">
      <alignment horizontal="left" wrapText="1"/>
    </xf>
    <xf numFmtId="0" fontId="2" fillId="0" borderId="13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2" fontId="4" fillId="0" borderId="0" xfId="0" applyNumberFormat="1" applyFont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15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2" fontId="2" fillId="0" borderId="14" xfId="0" applyNumberFormat="1" applyFont="1" applyBorder="1" applyAlignment="1">
      <alignment horizontal="center" wrapText="1"/>
    </xf>
    <xf numFmtId="164" fontId="2" fillId="0" borderId="14" xfId="0" applyNumberFormat="1" applyFont="1" applyBorder="1" applyAlignment="1">
      <alignment horizontal="center" wrapText="1"/>
    </xf>
    <xf numFmtId="2" fontId="4" fillId="0" borderId="0" xfId="0" applyNumberFormat="1" applyFont="1" applyBorder="1" applyAlignment="1">
      <alignment horizontal="center" wrapText="1"/>
    </xf>
    <xf numFmtId="164" fontId="4" fillId="0" borderId="0" xfId="0" applyNumberFormat="1" applyFont="1" applyBorder="1" applyAlignment="1">
      <alignment horizontal="center" wrapText="1"/>
    </xf>
    <xf numFmtId="1" fontId="4" fillId="0" borderId="0" xfId="0" applyNumberFormat="1" applyFont="1" applyBorder="1" applyAlignment="1">
      <alignment horizontal="center" wrapText="1"/>
    </xf>
    <xf numFmtId="1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2" fontId="4" fillId="0" borderId="17" xfId="0" applyNumberFormat="1" applyFont="1" applyBorder="1" applyAlignment="1">
      <alignment horizontal="center" wrapText="1"/>
    </xf>
    <xf numFmtId="164" fontId="4" fillId="0" borderId="17" xfId="0" applyNumberFormat="1" applyFont="1" applyBorder="1" applyAlignment="1">
      <alignment horizontal="center" wrapText="1"/>
    </xf>
    <xf numFmtId="1" fontId="4" fillId="0" borderId="17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1" fontId="2" fillId="0" borderId="0" xfId="0" applyNumberFormat="1" applyFont="1" applyAlignment="1">
      <alignment horizontal="center" wrapText="1"/>
    </xf>
    <xf numFmtId="0" fontId="1" fillId="0" borderId="0" xfId="0" applyFont="1" applyBorder="1" applyAlignment="1">
      <alignment wrapText="1"/>
    </xf>
    <xf numFmtId="1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" fontId="2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2" fontId="4" fillId="0" borderId="0" xfId="0" applyNumberFormat="1" applyFont="1" applyAlignment="1" applyProtection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1" applyFont="1" applyAlignment="1" applyProtection="1"/>
    <xf numFmtId="0" fontId="0" fillId="0" borderId="0" xfId="0" applyAlignment="1"/>
    <xf numFmtId="0" fontId="13" fillId="0" borderId="19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3" xfId="0" applyFont="1" applyBorder="1" applyAlignment="1">
      <alignment horizontal="justify" vertical="top" wrapText="1"/>
    </xf>
    <xf numFmtId="0" fontId="16" fillId="0" borderId="2" xfId="0" applyFont="1" applyBorder="1" applyAlignment="1">
      <alignment horizontal="justify" vertical="top" wrapText="1"/>
    </xf>
    <xf numFmtId="0" fontId="4" fillId="0" borderId="0" xfId="0" applyFont="1" applyAlignment="1">
      <alignment horizontal="justify" vertical="top" wrapText="1"/>
    </xf>
    <xf numFmtId="0" fontId="4" fillId="0" borderId="0" xfId="0" applyFont="1" applyAlignment="1">
      <alignment horizontal="center" wrapText="1"/>
    </xf>
    <xf numFmtId="0" fontId="2" fillId="0" borderId="3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25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A3" sqref="A3:L3"/>
    </sheetView>
  </sheetViews>
  <sheetFormatPr defaultColWidth="9.109375" defaultRowHeight="13.2" x14ac:dyDescent="0.25"/>
  <cols>
    <col min="1" max="2" width="9.109375" style="1"/>
    <col min="3" max="3" width="13.109375" style="1" customWidth="1"/>
    <col min="4" max="16384" width="9.109375" style="1"/>
  </cols>
  <sheetData>
    <row r="1" spans="1:12" ht="20.100000000000001" customHeight="1" x14ac:dyDescent="0.3">
      <c r="D1" s="4" t="s">
        <v>257</v>
      </c>
    </row>
    <row r="2" spans="1:12" ht="20.100000000000001" customHeight="1" x14ac:dyDescent="0.25"/>
    <row r="3" spans="1:12" ht="20.100000000000001" customHeight="1" x14ac:dyDescent="0.25">
      <c r="A3" s="171" t="s">
        <v>400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</row>
    <row r="4" spans="1:12" ht="20.100000000000001" customHeight="1" x14ac:dyDescent="0.25"/>
    <row r="5" spans="1:12" ht="20.100000000000001" customHeight="1" x14ac:dyDescent="0.25">
      <c r="A5" s="171" t="s">
        <v>402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</row>
  </sheetData>
  <mergeCells count="2">
    <mergeCell ref="A3:L3"/>
    <mergeCell ref="A5:L5"/>
  </mergeCells>
  <phoneticPr fontId="1" type="noConversion"/>
  <hyperlinks>
    <hyperlink ref="A5" location="CtoTract!A1" display="3- Determinação do custo / hora do tractor escolhido"/>
    <hyperlink ref="A3" location="HorasTra!A1" display="1- Determinação do número de horas /ano de utilização do tractor"/>
  </hyperlinks>
  <printOptions gridLines="1"/>
  <pageMargins left="1.92" right="0.75" top="1.71" bottom="1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/>
  <dimension ref="A1:L41"/>
  <sheetViews>
    <sheetView workbookViewId="0">
      <pane ySplit="3" topLeftCell="A4" activePane="bottomLeft" state="frozen"/>
      <selection pane="bottomLeft" activeCell="G5" sqref="G5"/>
    </sheetView>
  </sheetViews>
  <sheetFormatPr defaultColWidth="9.109375" defaultRowHeight="11.4" x14ac:dyDescent="0.2"/>
  <cols>
    <col min="1" max="1" width="27.44140625" style="43" customWidth="1"/>
    <col min="2" max="9" width="9.109375" style="43"/>
    <col min="10" max="10" width="10.6640625" style="43" customWidth="1"/>
    <col min="11" max="11" width="10.33203125" style="43" customWidth="1"/>
    <col min="12" max="12" width="13.109375" style="45" customWidth="1"/>
    <col min="13" max="16384" width="9.109375" style="43"/>
  </cols>
  <sheetData>
    <row r="1" spans="1:12" s="81" customFormat="1" ht="17.55" customHeight="1" x14ac:dyDescent="0.25">
      <c r="A1" s="80" t="s">
        <v>240</v>
      </c>
      <c r="B1" s="175" t="s">
        <v>449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2" ht="17.55" customHeight="1" x14ac:dyDescent="0.25">
      <c r="A2" s="45"/>
      <c r="B2" s="46" t="s">
        <v>34</v>
      </c>
      <c r="C2" s="46" t="s">
        <v>35</v>
      </c>
      <c r="D2" s="42" t="s">
        <v>36</v>
      </c>
      <c r="E2" s="46" t="s">
        <v>37</v>
      </c>
      <c r="F2" s="42" t="s">
        <v>38</v>
      </c>
      <c r="G2" s="46" t="s">
        <v>39</v>
      </c>
      <c r="H2" s="46" t="s">
        <v>40</v>
      </c>
      <c r="I2" s="46" t="s">
        <v>41</v>
      </c>
      <c r="J2" s="46" t="s">
        <v>42</v>
      </c>
      <c r="K2" s="47" t="s">
        <v>42</v>
      </c>
      <c r="L2" s="40" t="s">
        <v>249</v>
      </c>
    </row>
    <row r="3" spans="1:12" ht="17.55" customHeight="1" x14ac:dyDescent="0.25">
      <c r="A3" s="45"/>
      <c r="B3" s="46" t="s">
        <v>43</v>
      </c>
      <c r="C3" s="46" t="s">
        <v>44</v>
      </c>
      <c r="D3" s="46" t="s">
        <v>45</v>
      </c>
      <c r="E3" s="46" t="s">
        <v>46</v>
      </c>
      <c r="F3" s="46" t="s">
        <v>0</v>
      </c>
      <c r="G3" s="46" t="s">
        <v>46</v>
      </c>
      <c r="H3" s="46"/>
      <c r="I3" s="46" t="s">
        <v>47</v>
      </c>
      <c r="J3" s="46" t="s">
        <v>157</v>
      </c>
      <c r="K3" s="47" t="s">
        <v>50</v>
      </c>
      <c r="L3" s="48" t="s">
        <v>250</v>
      </c>
    </row>
    <row r="4" spans="1:12" ht="17.55" customHeight="1" x14ac:dyDescent="0.25">
      <c r="A4" s="48" t="s">
        <v>224</v>
      </c>
    </row>
    <row r="5" spans="1:12" ht="17.55" customHeight="1" x14ac:dyDescent="0.2">
      <c r="A5" s="45" t="s">
        <v>225</v>
      </c>
      <c r="B5" s="49">
        <v>5</v>
      </c>
      <c r="C5" s="50">
        <v>0.5</v>
      </c>
      <c r="D5" s="51">
        <v>5</v>
      </c>
      <c r="E5" s="50">
        <f>(C5*D5)/10</f>
        <v>0.25</v>
      </c>
      <c r="F5" s="49">
        <v>80</v>
      </c>
      <c r="G5" s="50">
        <f>(E5*F5)/100</f>
        <v>0.2</v>
      </c>
      <c r="H5" s="49">
        <v>1</v>
      </c>
      <c r="I5" s="50">
        <f>1/G5*H5</f>
        <v>5</v>
      </c>
      <c r="J5" s="49">
        <f>+I5*B5</f>
        <v>25</v>
      </c>
      <c r="K5" s="49">
        <f>+J5</f>
        <v>25</v>
      </c>
      <c r="L5" s="45">
        <f>+TabPot!J6</f>
        <v>47.497999999999998</v>
      </c>
    </row>
    <row r="6" spans="1:12" ht="10.050000000000001" customHeight="1" x14ac:dyDescent="0.2">
      <c r="A6" s="45" t="s">
        <v>226</v>
      </c>
      <c r="B6" s="49"/>
      <c r="C6" s="50"/>
      <c r="D6" s="51"/>
      <c r="E6" s="50"/>
      <c r="F6" s="49"/>
      <c r="G6" s="50"/>
      <c r="H6" s="49"/>
      <c r="I6" s="50"/>
      <c r="J6" s="49"/>
      <c r="K6" s="49"/>
    </row>
    <row r="7" spans="1:12" ht="17.55" customHeight="1" x14ac:dyDescent="0.25">
      <c r="A7" s="48" t="s">
        <v>228</v>
      </c>
    </row>
    <row r="8" spans="1:12" ht="17.55" customHeight="1" x14ac:dyDescent="0.2">
      <c r="A8" s="45" t="s">
        <v>227</v>
      </c>
      <c r="B8" s="45">
        <v>5</v>
      </c>
      <c r="C8" s="50">
        <v>2</v>
      </c>
      <c r="D8" s="51">
        <v>6</v>
      </c>
      <c r="E8" s="50">
        <f>(C8*D8)/10</f>
        <v>1.2</v>
      </c>
      <c r="F8" s="49">
        <v>80</v>
      </c>
      <c r="G8" s="50">
        <f>(E8*F8)/100</f>
        <v>0.96</v>
      </c>
      <c r="H8" s="49">
        <v>2</v>
      </c>
      <c r="I8" s="50">
        <f>1/G8*H8</f>
        <v>2.0833333333333335</v>
      </c>
      <c r="J8" s="49">
        <f>+I8*B8</f>
        <v>10.416666666666668</v>
      </c>
      <c r="K8" s="49">
        <f>+J8</f>
        <v>10.416666666666668</v>
      </c>
      <c r="L8" s="45">
        <f>+TabPot!J37</f>
        <v>51.000000000000014</v>
      </c>
    </row>
    <row r="9" spans="1:12" ht="10.050000000000001" customHeight="1" x14ac:dyDescent="0.2">
      <c r="A9" s="45" t="s">
        <v>226</v>
      </c>
      <c r="B9" s="49"/>
      <c r="C9" s="50"/>
      <c r="D9" s="51"/>
      <c r="E9" s="50"/>
      <c r="F9" s="49"/>
      <c r="G9" s="50"/>
      <c r="H9" s="49"/>
      <c r="I9" s="50"/>
      <c r="J9" s="49"/>
      <c r="K9" s="49"/>
    </row>
    <row r="10" spans="1:12" ht="17.55" customHeight="1" x14ac:dyDescent="0.25">
      <c r="A10" s="48" t="s">
        <v>229</v>
      </c>
    </row>
    <row r="11" spans="1:12" ht="17.55" customHeight="1" x14ac:dyDescent="0.2">
      <c r="A11" s="45" t="s">
        <v>230</v>
      </c>
      <c r="B11" s="45">
        <v>5</v>
      </c>
      <c r="C11" s="50">
        <v>2</v>
      </c>
      <c r="D11" s="51">
        <v>2</v>
      </c>
      <c r="E11" s="50">
        <f>(C11*D11)/10</f>
        <v>0.4</v>
      </c>
      <c r="F11" s="49">
        <v>80</v>
      </c>
      <c r="G11" s="50">
        <f>(E11*F11)/100</f>
        <v>0.32</v>
      </c>
      <c r="H11" s="49">
        <v>1</v>
      </c>
      <c r="I11" s="50">
        <f>1/G11*H11</f>
        <v>3.125</v>
      </c>
      <c r="J11" s="49">
        <f>+I11*B11</f>
        <v>15.625</v>
      </c>
      <c r="K11" s="49">
        <f>+J11</f>
        <v>15.625</v>
      </c>
      <c r="L11" s="45">
        <f>+TabPot!J92</f>
        <v>50</v>
      </c>
    </row>
    <row r="12" spans="1:12" ht="10.050000000000001" customHeight="1" x14ac:dyDescent="0.2">
      <c r="A12" s="45" t="s">
        <v>226</v>
      </c>
      <c r="B12" s="49"/>
      <c r="C12" s="50"/>
      <c r="D12" s="51"/>
      <c r="E12" s="50"/>
      <c r="F12" s="49"/>
      <c r="G12" s="50"/>
      <c r="H12" s="49"/>
      <c r="I12" s="50"/>
      <c r="J12" s="49"/>
      <c r="K12" s="49"/>
    </row>
    <row r="13" spans="1:12" ht="17.55" customHeight="1" x14ac:dyDescent="0.25">
      <c r="A13" s="48" t="s">
        <v>231</v>
      </c>
    </row>
    <row r="14" spans="1:12" ht="17.55" customHeight="1" x14ac:dyDescent="0.2">
      <c r="A14" s="45" t="s">
        <v>232</v>
      </c>
      <c r="B14" s="52">
        <v>5</v>
      </c>
      <c r="C14" s="50">
        <v>2</v>
      </c>
      <c r="D14" s="51">
        <v>2</v>
      </c>
      <c r="E14" s="50">
        <f>(C14*D14)/10</f>
        <v>0.4</v>
      </c>
      <c r="F14" s="49">
        <v>80</v>
      </c>
      <c r="G14" s="50">
        <f>(E14*F14)/100</f>
        <v>0.32</v>
      </c>
      <c r="H14" s="49">
        <v>3</v>
      </c>
      <c r="I14" s="50">
        <f>1/G14*H14</f>
        <v>9.375</v>
      </c>
      <c r="J14" s="49">
        <f>+I14*B14</f>
        <v>46.875</v>
      </c>
      <c r="K14" s="49">
        <f>+J14</f>
        <v>46.875</v>
      </c>
      <c r="L14" s="45">
        <f>+TabPot!J75</f>
        <v>50</v>
      </c>
    </row>
    <row r="15" spans="1:12" ht="10.050000000000001" customHeight="1" x14ac:dyDescent="0.2">
      <c r="A15" s="45" t="s">
        <v>226</v>
      </c>
      <c r="B15" s="49"/>
      <c r="C15" s="50"/>
      <c r="D15" s="51"/>
      <c r="E15" s="50"/>
      <c r="F15" s="49"/>
      <c r="G15" s="50"/>
      <c r="H15" s="49"/>
      <c r="I15" s="50"/>
      <c r="J15" s="49"/>
      <c r="K15" s="49"/>
    </row>
    <row r="16" spans="1:12" ht="17.55" customHeight="1" x14ac:dyDescent="0.25">
      <c r="A16" s="48" t="s">
        <v>233</v>
      </c>
    </row>
    <row r="17" spans="1:12" ht="17.55" customHeight="1" x14ac:dyDescent="0.2">
      <c r="A17" s="45" t="s">
        <v>234</v>
      </c>
      <c r="B17" s="52">
        <v>5</v>
      </c>
      <c r="C17" s="50">
        <v>2</v>
      </c>
      <c r="D17" s="51">
        <v>2</v>
      </c>
      <c r="E17" s="50">
        <f>(C17*D17)/10</f>
        <v>0.4</v>
      </c>
      <c r="F17" s="49">
        <v>80</v>
      </c>
      <c r="G17" s="50">
        <f>(E17*F17)/100</f>
        <v>0.32</v>
      </c>
      <c r="H17" s="49">
        <v>5</v>
      </c>
      <c r="I17" s="50">
        <f>1/G17*H17</f>
        <v>15.625</v>
      </c>
      <c r="J17" s="49">
        <f>+I17*B17</f>
        <v>78.125</v>
      </c>
      <c r="K17" s="49">
        <f>+J17</f>
        <v>78.125</v>
      </c>
      <c r="L17" s="45">
        <f>+TabPot!J109</f>
        <v>30</v>
      </c>
    </row>
    <row r="18" spans="1:12" ht="10.050000000000001" customHeight="1" x14ac:dyDescent="0.2">
      <c r="A18" s="45" t="s">
        <v>226</v>
      </c>
      <c r="B18" s="49"/>
      <c r="C18" s="50"/>
      <c r="D18" s="51"/>
      <c r="E18" s="50"/>
      <c r="F18" s="49"/>
      <c r="G18" s="50"/>
      <c r="H18" s="49"/>
      <c r="I18" s="50"/>
      <c r="J18" s="49"/>
      <c r="K18" s="49"/>
    </row>
    <row r="19" spans="1:12" ht="17.55" customHeight="1" x14ac:dyDescent="0.25">
      <c r="A19" s="48" t="s">
        <v>235</v>
      </c>
    </row>
    <row r="20" spans="1:12" ht="17.55" customHeight="1" x14ac:dyDescent="0.2">
      <c r="A20" s="45" t="s">
        <v>236</v>
      </c>
      <c r="B20" s="52">
        <v>5</v>
      </c>
      <c r="C20" s="50">
        <v>2</v>
      </c>
      <c r="D20" s="51">
        <v>2</v>
      </c>
      <c r="E20" s="50">
        <f>(C20*D20)/10</f>
        <v>0.4</v>
      </c>
      <c r="F20" s="49">
        <v>80</v>
      </c>
      <c r="G20" s="50">
        <f>(E20*F20)/100</f>
        <v>0.32</v>
      </c>
      <c r="H20" s="49">
        <v>1</v>
      </c>
      <c r="I20" s="50">
        <f>1/G20*H20</f>
        <v>3.125</v>
      </c>
      <c r="J20" s="49">
        <f>+I20*B20</f>
        <v>15.625</v>
      </c>
      <c r="K20" s="49">
        <f>+J20</f>
        <v>15.625</v>
      </c>
      <c r="L20" s="45">
        <f>+TabPot!J152</f>
        <v>60</v>
      </c>
    </row>
    <row r="21" spans="1:12" ht="10.050000000000001" customHeight="1" x14ac:dyDescent="0.2">
      <c r="A21" s="45"/>
      <c r="B21" s="49"/>
      <c r="C21" s="50"/>
      <c r="D21" s="51"/>
      <c r="E21" s="50"/>
      <c r="F21" s="49"/>
      <c r="G21" s="50"/>
      <c r="H21" s="49"/>
      <c r="I21" s="50"/>
      <c r="J21" s="49"/>
      <c r="K21" s="49"/>
    </row>
    <row r="22" spans="1:12" ht="17.55" customHeight="1" x14ac:dyDescent="0.25">
      <c r="A22" s="48" t="s">
        <v>238</v>
      </c>
      <c r="B22" s="52"/>
      <c r="C22" s="50"/>
      <c r="D22" s="51"/>
      <c r="E22" s="50"/>
      <c r="F22" s="49"/>
      <c r="G22" s="50"/>
      <c r="H22" s="49"/>
      <c r="I22" s="50"/>
      <c r="J22" s="49"/>
    </row>
    <row r="23" spans="1:12" ht="17.55" customHeight="1" x14ac:dyDescent="0.2">
      <c r="A23" s="45" t="s">
        <v>237</v>
      </c>
      <c r="B23" s="52"/>
      <c r="C23" s="50"/>
      <c r="D23" s="51"/>
      <c r="E23" s="50"/>
      <c r="F23" s="49"/>
      <c r="G23" s="50"/>
      <c r="H23" s="49"/>
      <c r="I23" s="50"/>
      <c r="J23" s="49"/>
      <c r="K23" s="49">
        <v>60</v>
      </c>
      <c r="L23" s="45">
        <f>+TabPot!J178</f>
        <v>53</v>
      </c>
    </row>
    <row r="24" spans="1:12" ht="10.050000000000001" customHeight="1" x14ac:dyDescent="0.2">
      <c r="A24" s="45"/>
      <c r="B24" s="49"/>
      <c r="C24" s="50"/>
      <c r="D24" s="51"/>
      <c r="E24" s="50"/>
      <c r="F24" s="49"/>
      <c r="G24" s="50"/>
      <c r="H24" s="49"/>
      <c r="I24" s="50"/>
      <c r="J24" s="49"/>
      <c r="K24" s="49"/>
    </row>
    <row r="25" spans="1:12" ht="17.55" customHeight="1" x14ac:dyDescent="0.25">
      <c r="A25" s="53" t="s">
        <v>48</v>
      </c>
      <c r="B25" s="46"/>
      <c r="C25" s="50"/>
      <c r="D25" s="51"/>
      <c r="E25" s="50"/>
      <c r="F25" s="49"/>
      <c r="G25" s="50"/>
      <c r="H25" s="49"/>
      <c r="I25" s="54"/>
      <c r="J25" s="54"/>
      <c r="K25" s="46">
        <f>SUM(K5:K23)</f>
        <v>251.66666666666669</v>
      </c>
    </row>
    <row r="26" spans="1:12" ht="10.050000000000001" customHeight="1" x14ac:dyDescent="0.2">
      <c r="A26" s="45"/>
      <c r="B26" s="49"/>
      <c r="C26" s="50"/>
      <c r="D26" s="51"/>
      <c r="E26" s="50"/>
      <c r="F26" s="49"/>
      <c r="G26" s="50"/>
      <c r="H26" s="49"/>
      <c r="I26" s="50"/>
      <c r="J26" s="49"/>
      <c r="K26" s="49"/>
    </row>
    <row r="27" spans="1:12" ht="17.55" customHeight="1" x14ac:dyDescent="0.25">
      <c r="A27" s="48" t="s">
        <v>239</v>
      </c>
      <c r="B27" s="52"/>
      <c r="C27" s="50"/>
      <c r="D27" s="51"/>
      <c r="E27" s="50"/>
      <c r="F27" s="49"/>
      <c r="G27" s="50"/>
      <c r="H27" s="49"/>
      <c r="I27" s="50"/>
      <c r="J27" s="49"/>
      <c r="K27" s="49"/>
    </row>
    <row r="28" spans="1:12" ht="17.55" customHeight="1" x14ac:dyDescent="0.2">
      <c r="A28" s="45" t="s">
        <v>25</v>
      </c>
      <c r="B28" s="52"/>
      <c r="C28" s="50"/>
      <c r="D28" s="51"/>
      <c r="E28" s="50"/>
      <c r="F28" s="49"/>
      <c r="G28" s="50"/>
      <c r="H28" s="49"/>
      <c r="I28" s="50"/>
      <c r="J28" s="49"/>
      <c r="K28" s="49">
        <v>150</v>
      </c>
      <c r="L28" s="45">
        <v>40</v>
      </c>
    </row>
    <row r="29" spans="1:12" ht="17.55" customHeight="1" x14ac:dyDescent="0.25">
      <c r="A29" s="53" t="s">
        <v>49</v>
      </c>
      <c r="K29" s="48">
        <f>SUM(K28:K28)</f>
        <v>150</v>
      </c>
    </row>
    <row r="30" spans="1:12" ht="10.050000000000001" customHeight="1" thickBot="1" x14ac:dyDescent="0.25">
      <c r="A30" s="45"/>
      <c r="B30" s="49"/>
      <c r="C30" s="50"/>
      <c r="D30" s="51"/>
      <c r="E30" s="50"/>
      <c r="F30" s="49"/>
      <c r="G30" s="50"/>
      <c r="H30" s="49"/>
      <c r="I30" s="50"/>
      <c r="J30" s="49"/>
      <c r="K30" s="49"/>
    </row>
    <row r="31" spans="1:12" ht="17.55" customHeight="1" thickBot="1" x14ac:dyDescent="0.3">
      <c r="A31" s="53" t="s">
        <v>408</v>
      </c>
      <c r="K31" s="79">
        <f>+K29+K25</f>
        <v>401.66666666666669</v>
      </c>
      <c r="L31" s="79">
        <f>MAX(L4:L29)</f>
        <v>60</v>
      </c>
    </row>
    <row r="32" spans="1:12" ht="17.55" customHeight="1" thickBot="1" x14ac:dyDescent="0.3">
      <c r="A32" s="53"/>
      <c r="K32" s="48"/>
    </row>
    <row r="33" spans="1:11" ht="17.55" customHeight="1" thickBot="1" x14ac:dyDescent="0.3">
      <c r="A33" s="53"/>
      <c r="D33" s="173" t="s">
        <v>256</v>
      </c>
      <c r="E33" s="174"/>
      <c r="F33" s="174"/>
      <c r="G33" s="82">
        <f>+L31</f>
        <v>60</v>
      </c>
      <c r="K33" s="48"/>
    </row>
    <row r="34" spans="1:11" ht="12" x14ac:dyDescent="0.25">
      <c r="G34" s="44"/>
      <c r="K34" s="48"/>
    </row>
    <row r="35" spans="1:11" ht="12" x14ac:dyDescent="0.25">
      <c r="B35" s="38"/>
      <c r="J35" s="48"/>
    </row>
    <row r="36" spans="1:11" ht="12" x14ac:dyDescent="0.25">
      <c r="A36" s="53"/>
      <c r="K36" s="48"/>
    </row>
    <row r="41" spans="1:11" x14ac:dyDescent="0.2">
      <c r="B41" s="38"/>
    </row>
  </sheetData>
  <mergeCells count="2">
    <mergeCell ref="D33:F33"/>
    <mergeCell ref="B1:L1"/>
  </mergeCells>
  <phoneticPr fontId="1" type="noConversion"/>
  <hyperlinks>
    <hyperlink ref="A1" location="Índice!A1" display="(voltar ao índice)"/>
    <hyperlink ref="D2" location="EfVel!A1" display="V.T."/>
    <hyperlink ref="F2" location="EfVel!A1" display="E.C."/>
    <hyperlink ref="L2" location="TabPot!A1" display="Pot. Atribída"/>
  </hyperlinks>
  <printOptions gridLines="1"/>
  <pageMargins left="0.39370078740157483" right="0.75" top="0.39370078740157483" bottom="0.39370078740157483" header="0" footer="0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/>
  <dimension ref="A1:J38"/>
  <sheetViews>
    <sheetView tabSelected="1" workbookViewId="0">
      <pane ySplit="3" topLeftCell="A4" activePane="bottomLeft" state="frozen"/>
      <selection pane="bottomLeft" activeCell="L19" sqref="L19"/>
    </sheetView>
  </sheetViews>
  <sheetFormatPr defaultColWidth="9.109375" defaultRowHeight="11.4" x14ac:dyDescent="0.2"/>
  <cols>
    <col min="1" max="1" width="15" style="43" customWidth="1"/>
    <col min="2" max="2" width="12.5546875" style="43" customWidth="1"/>
    <col min="3" max="3" width="12" style="43" customWidth="1"/>
    <col min="4" max="4" width="13" style="43" customWidth="1"/>
    <col min="5" max="5" width="12" style="43" customWidth="1"/>
    <col min="6" max="6" width="11.5546875" style="43" customWidth="1"/>
    <col min="7" max="7" width="13.109375" style="43" customWidth="1"/>
    <col min="8" max="8" width="10.44140625" style="43" customWidth="1"/>
    <col min="9" max="9" width="11" style="43" customWidth="1"/>
    <col min="10" max="10" width="9.109375" style="43"/>
    <col min="11" max="11" width="6.6640625" style="43" customWidth="1"/>
    <col min="12" max="12" width="7" style="43" customWidth="1"/>
    <col min="13" max="13" width="5.44140625" style="43" customWidth="1"/>
    <col min="14" max="15" width="4.33203125" style="43" customWidth="1"/>
    <col min="16" max="16" width="4.6640625" style="43" customWidth="1"/>
    <col min="17" max="17" width="6.6640625" style="43" customWidth="1"/>
    <col min="18" max="18" width="9.6640625" style="43" customWidth="1"/>
    <col min="19" max="19" width="5.5546875" style="43" customWidth="1"/>
    <col min="20" max="20" width="6.44140625" style="43" customWidth="1"/>
    <col min="21" max="21" width="4.88671875" style="43" customWidth="1"/>
    <col min="22" max="22" width="5.6640625" style="43" customWidth="1"/>
    <col min="23" max="16384" width="9.109375" style="43"/>
  </cols>
  <sheetData>
    <row r="1" spans="1:10" ht="17.55" customHeight="1" x14ac:dyDescent="0.25">
      <c r="A1" s="42" t="s">
        <v>240</v>
      </c>
      <c r="B1" s="53" t="s">
        <v>27</v>
      </c>
      <c r="C1" s="39">
        <f>+HorasTra!G33</f>
        <v>60</v>
      </c>
      <c r="D1" s="78" t="s">
        <v>403</v>
      </c>
      <c r="E1" s="39">
        <f>+IHERA!E10</f>
        <v>26952</v>
      </c>
      <c r="F1" s="39" t="s">
        <v>407</v>
      </c>
      <c r="H1" s="39">
        <v>0</v>
      </c>
      <c r="I1" s="44"/>
      <c r="J1" s="48"/>
    </row>
    <row r="2" spans="1:10" ht="17.55" customHeight="1" x14ac:dyDescent="0.25">
      <c r="A2" s="47" t="s">
        <v>21</v>
      </c>
      <c r="B2" s="46" t="s">
        <v>33</v>
      </c>
      <c r="C2" s="40" t="s">
        <v>1</v>
      </c>
      <c r="D2" s="46" t="s">
        <v>2</v>
      </c>
      <c r="E2" s="46" t="s">
        <v>3</v>
      </c>
      <c r="F2" s="46" t="s">
        <v>4</v>
      </c>
      <c r="G2" s="46" t="s">
        <v>5</v>
      </c>
      <c r="H2" s="46" t="s">
        <v>32</v>
      </c>
      <c r="I2" s="46" t="s">
        <v>6</v>
      </c>
      <c r="J2" s="49"/>
    </row>
    <row r="3" spans="1:10" ht="17.55" customHeight="1" x14ac:dyDescent="0.25">
      <c r="A3" s="48" t="s">
        <v>26</v>
      </c>
      <c r="B3" s="46" t="s">
        <v>24</v>
      </c>
      <c r="C3" s="46" t="s">
        <v>7</v>
      </c>
      <c r="D3" s="46" t="s">
        <v>0</v>
      </c>
      <c r="E3" s="46" t="s">
        <v>0</v>
      </c>
      <c r="F3" s="46" t="s">
        <v>22</v>
      </c>
      <c r="G3" s="46" t="s">
        <v>22</v>
      </c>
      <c r="H3" s="46" t="s">
        <v>22</v>
      </c>
      <c r="I3" s="46" t="s">
        <v>22</v>
      </c>
      <c r="J3" s="49"/>
    </row>
    <row r="4" spans="1:10" ht="17.55" customHeight="1" x14ac:dyDescent="0.25">
      <c r="A4" s="48">
        <f>+HorasTra!K31</f>
        <v>401.66666666666669</v>
      </c>
      <c r="B4" s="41">
        <f>+E1*(1-($H$1/100))</f>
        <v>26952</v>
      </c>
      <c r="C4" s="49">
        <f>+IHERA!G10</f>
        <v>10</v>
      </c>
      <c r="D4" s="49">
        <f>+IHERA!J3</f>
        <v>5</v>
      </c>
      <c r="E4" s="49">
        <f>+IHERA!K3</f>
        <v>3</v>
      </c>
      <c r="F4" s="50">
        <f>(B4*0.9)/(A4*C4)</f>
        <v>6.0390373443983396</v>
      </c>
      <c r="G4" s="50">
        <f>((B4*1.1)/(2*A4))*(D4/100)</f>
        <v>1.8452614107883818</v>
      </c>
      <c r="H4" s="50">
        <f>((B4*1.1)/(2*A4)*(E4/100))</f>
        <v>1.107156846473029</v>
      </c>
      <c r="I4" s="50">
        <f>F4+G4+H4</f>
        <v>8.9914556016597498</v>
      </c>
      <c r="J4" s="49"/>
    </row>
    <row r="5" spans="1:10" ht="7.5" customHeight="1" x14ac:dyDescent="0.25">
      <c r="A5" s="48"/>
      <c r="B5" s="46"/>
      <c r="C5" s="46"/>
      <c r="D5" s="46"/>
      <c r="E5" s="46"/>
      <c r="F5" s="46"/>
      <c r="G5" s="46"/>
      <c r="H5" s="46"/>
      <c r="I5" s="46"/>
      <c r="J5" s="49"/>
    </row>
    <row r="6" spans="1:10" ht="17.55" customHeight="1" x14ac:dyDescent="0.25">
      <c r="A6" s="46" t="s">
        <v>8</v>
      </c>
      <c r="B6" s="46" t="s">
        <v>9</v>
      </c>
      <c r="C6" s="46" t="s">
        <v>28</v>
      </c>
      <c r="D6" s="46" t="s">
        <v>10</v>
      </c>
      <c r="E6" s="46" t="s">
        <v>11</v>
      </c>
      <c r="F6" s="46" t="s">
        <v>29</v>
      </c>
      <c r="G6" s="46" t="s">
        <v>14</v>
      </c>
      <c r="H6" s="46" t="s">
        <v>15</v>
      </c>
      <c r="I6" s="46" t="s">
        <v>16</v>
      </c>
    </row>
    <row r="7" spans="1:10" ht="17.55" customHeight="1" x14ac:dyDescent="0.25">
      <c r="A7" s="46" t="s">
        <v>12</v>
      </c>
      <c r="B7" s="46" t="s">
        <v>23</v>
      </c>
      <c r="C7" s="46" t="s">
        <v>22</v>
      </c>
      <c r="D7" s="46" t="s">
        <v>13</v>
      </c>
      <c r="E7" s="46" t="s">
        <v>23</v>
      </c>
      <c r="F7" s="46" t="s">
        <v>22</v>
      </c>
      <c r="G7" s="46" t="s">
        <v>24</v>
      </c>
      <c r="H7" s="46" t="s">
        <v>20</v>
      </c>
      <c r="I7" s="46" t="s">
        <v>22</v>
      </c>
    </row>
    <row r="8" spans="1:10" ht="17.55" customHeight="1" x14ac:dyDescent="0.2">
      <c r="A8" s="50">
        <v>0.1</v>
      </c>
      <c r="B8" s="50">
        <f>0.65-0.29</f>
        <v>0.36000000000000004</v>
      </c>
      <c r="C8" s="50">
        <f>+A8*B8*$C$1</f>
        <v>2.16</v>
      </c>
      <c r="D8" s="55">
        <v>2E-3</v>
      </c>
      <c r="E8" s="50">
        <v>2.74</v>
      </c>
      <c r="F8" s="50">
        <f>+D8*E8*$C$1</f>
        <v>0.32880000000000004</v>
      </c>
      <c r="G8" s="49">
        <v>750</v>
      </c>
      <c r="H8" s="49">
        <v>3000</v>
      </c>
      <c r="I8" s="50">
        <f>G8/H8</f>
        <v>0.25</v>
      </c>
    </row>
    <row r="9" spans="1:10" ht="7.5" customHeight="1" x14ac:dyDescent="0.25">
      <c r="A9" s="48"/>
      <c r="B9" s="46"/>
      <c r="C9" s="46"/>
      <c r="D9" s="46"/>
      <c r="E9" s="46"/>
      <c r="F9" s="46"/>
      <c r="G9" s="46"/>
      <c r="H9" s="46"/>
      <c r="I9" s="46"/>
      <c r="J9" s="49"/>
    </row>
    <row r="10" spans="1:10" ht="17.55" customHeight="1" x14ac:dyDescent="0.25">
      <c r="A10" s="40" t="s">
        <v>17</v>
      </c>
      <c r="B10" s="46" t="s">
        <v>401</v>
      </c>
      <c r="C10" s="46" t="s">
        <v>18</v>
      </c>
      <c r="D10" s="47" t="s">
        <v>31</v>
      </c>
      <c r="E10" s="46" t="s">
        <v>19</v>
      </c>
      <c r="F10" s="46" t="s">
        <v>30</v>
      </c>
    </row>
    <row r="11" spans="1:10" ht="17.55" customHeight="1" x14ac:dyDescent="0.25">
      <c r="A11" s="46" t="s">
        <v>0</v>
      </c>
      <c r="B11" s="46" t="s">
        <v>22</v>
      </c>
      <c r="C11" s="46" t="s">
        <v>22</v>
      </c>
      <c r="D11" s="46" t="s">
        <v>22</v>
      </c>
      <c r="E11" s="46" t="s">
        <v>22</v>
      </c>
      <c r="F11" s="46" t="s">
        <v>22</v>
      </c>
    </row>
    <row r="12" spans="1:10" ht="17.55" customHeight="1" x14ac:dyDescent="0.25">
      <c r="A12" s="50">
        <v>0.01</v>
      </c>
      <c r="B12" s="50">
        <f>B4*(A12/100)</f>
        <v>2.6952000000000003</v>
      </c>
      <c r="C12" s="50">
        <f>+B12*0.1</f>
        <v>0.26952000000000004</v>
      </c>
      <c r="D12" s="56">
        <f>10936.83/1200</f>
        <v>9.1140249999999998</v>
      </c>
      <c r="E12" s="50">
        <f>$C$8+$F$8+$I$8+$B$12+$C$12+$D$12</f>
        <v>14.817545000000001</v>
      </c>
      <c r="F12" s="57">
        <f>I4+$E$12</f>
        <v>23.809000601659751</v>
      </c>
    </row>
    <row r="13" spans="1:10" ht="7.5" customHeight="1" x14ac:dyDescent="0.25">
      <c r="A13" s="48"/>
      <c r="B13" s="46"/>
      <c r="C13" s="46"/>
      <c r="D13" s="46"/>
      <c r="E13" s="46"/>
      <c r="F13" s="46"/>
      <c r="G13" s="46"/>
      <c r="H13" s="46"/>
      <c r="I13" s="46"/>
      <c r="J13" s="49"/>
    </row>
    <row r="14" spans="1:10" ht="17.55" customHeight="1" x14ac:dyDescent="0.25">
      <c r="B14" s="50"/>
      <c r="D14" s="54" t="s">
        <v>248</v>
      </c>
      <c r="E14" s="56"/>
      <c r="F14" s="50"/>
      <c r="G14" s="58"/>
    </row>
    <row r="15" spans="1:10" ht="17.55" customHeight="1" x14ac:dyDescent="0.25">
      <c r="B15" s="46" t="s">
        <v>4</v>
      </c>
      <c r="C15" s="46" t="s">
        <v>5</v>
      </c>
      <c r="D15" s="46" t="s">
        <v>32</v>
      </c>
      <c r="E15" s="46" t="s">
        <v>6</v>
      </c>
      <c r="F15" s="46" t="s">
        <v>19</v>
      </c>
      <c r="G15" s="46" t="s">
        <v>30</v>
      </c>
    </row>
    <row r="16" spans="1:10" ht="17.55" customHeight="1" x14ac:dyDescent="0.25">
      <c r="A16" s="47" t="s">
        <v>241</v>
      </c>
      <c r="B16" s="46" t="s">
        <v>22</v>
      </c>
      <c r="C16" s="46" t="s">
        <v>22</v>
      </c>
      <c r="D16" s="46" t="s">
        <v>22</v>
      </c>
      <c r="E16" s="46" t="s">
        <v>22</v>
      </c>
      <c r="F16" s="46" t="s">
        <v>22</v>
      </c>
      <c r="G16" s="46" t="s">
        <v>22</v>
      </c>
    </row>
    <row r="17" spans="1:10" ht="17.55" customHeight="1" x14ac:dyDescent="0.2">
      <c r="A17" s="49">
        <v>100</v>
      </c>
      <c r="B17" s="50">
        <f>($B$4*0.9)/(A17*$C$4)</f>
        <v>24.256799999999998</v>
      </c>
      <c r="C17" s="50">
        <f>(($B$4*1.1)/(2*A17))*($D$4/100)</f>
        <v>7.4117999999999995</v>
      </c>
      <c r="D17" s="50">
        <f>(($B$4*1.1)/(2*A17)*($E$4/100))</f>
        <v>4.4470799999999997</v>
      </c>
      <c r="E17" s="56">
        <f>+B17+C17+D17</f>
        <v>36.115679999999998</v>
      </c>
      <c r="F17" s="50">
        <f t="shared" ref="F17:F26" si="0">+$E$12</f>
        <v>14.817545000000001</v>
      </c>
      <c r="G17" s="56">
        <f>+E17+F17</f>
        <v>50.933225</v>
      </c>
    </row>
    <row r="18" spans="1:10" ht="17.55" customHeight="1" x14ac:dyDescent="0.2">
      <c r="A18" s="49">
        <v>200</v>
      </c>
      <c r="B18" s="50">
        <f t="shared" ref="B18:B26" si="1">($B$4*0.9)/(A18*$C$4)</f>
        <v>12.128399999999999</v>
      </c>
      <c r="C18" s="50">
        <f t="shared" ref="C18:C26" si="2">(($B$4*1.1)/(2*A18))*($D$4/100)</f>
        <v>3.7058999999999997</v>
      </c>
      <c r="D18" s="50">
        <f t="shared" ref="D18:D26" si="3">(($B$4*1.1)/(2*A18)*($E$4/100))</f>
        <v>2.2235399999999998</v>
      </c>
      <c r="E18" s="56">
        <f t="shared" ref="E18:E26" si="4">+B18+C18+D18</f>
        <v>18.057839999999999</v>
      </c>
      <c r="F18" s="50">
        <f t="shared" si="0"/>
        <v>14.817545000000001</v>
      </c>
      <c r="G18" s="56">
        <f t="shared" ref="G18:G26" si="5">+E18+F18</f>
        <v>32.875385000000001</v>
      </c>
    </row>
    <row r="19" spans="1:10" ht="17.55" customHeight="1" x14ac:dyDescent="0.2">
      <c r="A19" s="49">
        <v>300</v>
      </c>
      <c r="B19" s="50">
        <f t="shared" si="1"/>
        <v>8.0855999999999995</v>
      </c>
      <c r="C19" s="50">
        <f t="shared" si="2"/>
        <v>2.4706000000000001</v>
      </c>
      <c r="D19" s="50">
        <f t="shared" si="3"/>
        <v>1.4823599999999999</v>
      </c>
      <c r="E19" s="56">
        <f t="shared" si="4"/>
        <v>12.03856</v>
      </c>
      <c r="F19" s="50">
        <f t="shared" si="0"/>
        <v>14.817545000000001</v>
      </c>
      <c r="G19" s="56">
        <f t="shared" si="5"/>
        <v>26.856104999999999</v>
      </c>
    </row>
    <row r="20" spans="1:10" ht="17.55" customHeight="1" x14ac:dyDescent="0.25">
      <c r="A20" s="46">
        <v>400</v>
      </c>
      <c r="B20" s="54">
        <f t="shared" si="1"/>
        <v>6.0641999999999996</v>
      </c>
      <c r="C20" s="54">
        <f t="shared" si="2"/>
        <v>1.8529499999999999</v>
      </c>
      <c r="D20" s="54">
        <f t="shared" si="3"/>
        <v>1.1117699999999999</v>
      </c>
      <c r="E20" s="58">
        <f t="shared" si="4"/>
        <v>9.0289199999999994</v>
      </c>
      <c r="F20" s="54">
        <f t="shared" si="0"/>
        <v>14.817545000000001</v>
      </c>
      <c r="G20" s="58">
        <f t="shared" si="5"/>
        <v>23.846465000000002</v>
      </c>
    </row>
    <row r="21" spans="1:10" ht="17.55" customHeight="1" x14ac:dyDescent="0.2">
      <c r="A21" s="49">
        <v>500</v>
      </c>
      <c r="B21" s="50">
        <f t="shared" si="1"/>
        <v>4.8513599999999997</v>
      </c>
      <c r="C21" s="50">
        <f t="shared" si="2"/>
        <v>1.4823600000000001</v>
      </c>
      <c r="D21" s="50">
        <f t="shared" si="3"/>
        <v>0.88941599999999998</v>
      </c>
      <c r="E21" s="56">
        <f t="shared" si="4"/>
        <v>7.2231359999999993</v>
      </c>
      <c r="F21" s="50">
        <f t="shared" si="0"/>
        <v>14.817545000000001</v>
      </c>
      <c r="G21" s="56">
        <f t="shared" si="5"/>
        <v>22.040680999999999</v>
      </c>
    </row>
    <row r="22" spans="1:10" ht="17.55" customHeight="1" x14ac:dyDescent="0.2">
      <c r="A22" s="49">
        <v>600</v>
      </c>
      <c r="B22" s="50">
        <f t="shared" si="1"/>
        <v>4.0427999999999997</v>
      </c>
      <c r="C22" s="50">
        <f t="shared" si="2"/>
        <v>1.2353000000000001</v>
      </c>
      <c r="D22" s="50">
        <f t="shared" si="3"/>
        <v>0.74117999999999995</v>
      </c>
      <c r="E22" s="56">
        <f t="shared" si="4"/>
        <v>6.0192800000000002</v>
      </c>
      <c r="F22" s="50">
        <f t="shared" si="0"/>
        <v>14.817545000000001</v>
      </c>
      <c r="G22" s="56">
        <f t="shared" si="5"/>
        <v>20.836825000000001</v>
      </c>
    </row>
    <row r="23" spans="1:10" ht="17.55" customHeight="1" x14ac:dyDescent="0.2">
      <c r="A23" s="49">
        <v>700</v>
      </c>
      <c r="B23" s="50">
        <f t="shared" si="1"/>
        <v>3.4652571428571428</v>
      </c>
      <c r="C23" s="50">
        <f t="shared" si="2"/>
        <v>1.0588285714285715</v>
      </c>
      <c r="D23" s="50">
        <f t="shared" si="3"/>
        <v>0.63529714285714278</v>
      </c>
      <c r="E23" s="56">
        <f t="shared" si="4"/>
        <v>5.159382857142857</v>
      </c>
      <c r="F23" s="50">
        <f t="shared" si="0"/>
        <v>14.817545000000001</v>
      </c>
      <c r="G23" s="56">
        <f t="shared" si="5"/>
        <v>19.976927857142858</v>
      </c>
    </row>
    <row r="24" spans="1:10" ht="17.55" customHeight="1" x14ac:dyDescent="0.2">
      <c r="A24" s="49">
        <v>792</v>
      </c>
      <c r="B24" s="50">
        <f t="shared" si="1"/>
        <v>3.0627272727272725</v>
      </c>
      <c r="C24" s="50">
        <f t="shared" si="2"/>
        <v>0.93583333333333352</v>
      </c>
      <c r="D24" s="50">
        <f t="shared" si="3"/>
        <v>0.5615</v>
      </c>
      <c r="E24" s="56">
        <f t="shared" si="4"/>
        <v>4.5600606060606061</v>
      </c>
      <c r="F24" s="50">
        <f t="shared" si="0"/>
        <v>14.817545000000001</v>
      </c>
      <c r="G24" s="56">
        <f t="shared" si="5"/>
        <v>19.377605606060605</v>
      </c>
    </row>
    <row r="25" spans="1:10" ht="17.55" customHeight="1" x14ac:dyDescent="0.2">
      <c r="A25" s="49">
        <v>900</v>
      </c>
      <c r="B25" s="50">
        <f t="shared" si="1"/>
        <v>2.6951999999999998</v>
      </c>
      <c r="C25" s="50">
        <f t="shared" si="2"/>
        <v>0.82353333333333334</v>
      </c>
      <c r="D25" s="50">
        <f t="shared" si="3"/>
        <v>0.49411999999999995</v>
      </c>
      <c r="E25" s="56">
        <f t="shared" si="4"/>
        <v>4.0128533333333332</v>
      </c>
      <c r="F25" s="50">
        <f t="shared" si="0"/>
        <v>14.817545000000001</v>
      </c>
      <c r="G25" s="56">
        <f t="shared" si="5"/>
        <v>18.830398333333335</v>
      </c>
    </row>
    <row r="26" spans="1:10" ht="17.55" customHeight="1" x14ac:dyDescent="0.2">
      <c r="A26" s="49">
        <v>1000</v>
      </c>
      <c r="B26" s="50">
        <f t="shared" si="1"/>
        <v>2.4256799999999998</v>
      </c>
      <c r="C26" s="50">
        <f t="shared" si="2"/>
        <v>0.74118000000000006</v>
      </c>
      <c r="D26" s="50">
        <f t="shared" si="3"/>
        <v>0.44470799999999999</v>
      </c>
      <c r="E26" s="56">
        <f t="shared" si="4"/>
        <v>3.6115679999999997</v>
      </c>
      <c r="F26" s="50">
        <f t="shared" si="0"/>
        <v>14.817545000000001</v>
      </c>
      <c r="G26" s="56">
        <f t="shared" si="5"/>
        <v>18.429113000000001</v>
      </c>
    </row>
    <row r="27" spans="1:10" ht="7.5" customHeight="1" x14ac:dyDescent="0.25">
      <c r="A27" s="48"/>
      <c r="B27" s="46"/>
      <c r="C27" s="46"/>
      <c r="D27" s="46"/>
      <c r="E27" s="46"/>
      <c r="F27" s="46"/>
      <c r="G27" s="46"/>
      <c r="H27" s="46"/>
      <c r="I27" s="46"/>
      <c r="J27" s="49"/>
    </row>
    <row r="28" spans="1:10" ht="17.55" customHeight="1" x14ac:dyDescent="0.25">
      <c r="B28" s="59" t="s">
        <v>404</v>
      </c>
      <c r="D28" s="49"/>
      <c r="F28" s="52"/>
      <c r="G28" s="49"/>
      <c r="I28" s="46"/>
      <c r="J28" s="46"/>
    </row>
    <row r="29" spans="1:10" ht="17.55" customHeight="1" x14ac:dyDescent="0.25">
      <c r="A29" s="60"/>
      <c r="B29" s="61" t="s">
        <v>253</v>
      </c>
      <c r="C29" s="60"/>
      <c r="D29" s="62"/>
      <c r="E29" s="63" t="s">
        <v>254</v>
      </c>
      <c r="F29" s="64"/>
      <c r="G29" s="65"/>
      <c r="H29" s="66" t="s">
        <v>255</v>
      </c>
      <c r="I29" s="67"/>
      <c r="J29" s="46"/>
    </row>
    <row r="30" spans="1:10" ht="17.55" customHeight="1" x14ac:dyDescent="0.25">
      <c r="A30" s="68" t="s">
        <v>251</v>
      </c>
      <c r="B30" s="69" t="s">
        <v>252</v>
      </c>
      <c r="C30" s="70" t="s">
        <v>405</v>
      </c>
      <c r="D30" s="71" t="s">
        <v>251</v>
      </c>
      <c r="E30" s="64" t="s">
        <v>252</v>
      </c>
      <c r="F30" s="72" t="s">
        <v>405</v>
      </c>
      <c r="G30" s="73" t="s">
        <v>251</v>
      </c>
      <c r="H30" s="74" t="s">
        <v>252</v>
      </c>
      <c r="I30" s="75" t="s">
        <v>405</v>
      </c>
      <c r="J30" s="48"/>
    </row>
    <row r="31" spans="1:10" ht="17.55" customHeight="1" x14ac:dyDescent="0.25">
      <c r="A31" s="68">
        <f>+C1</f>
        <v>60</v>
      </c>
      <c r="B31" s="69">
        <f>+IHERA!E10</f>
        <v>26952</v>
      </c>
      <c r="C31" s="68">
        <f>+IHERA!T10</f>
        <v>22.036656000000001</v>
      </c>
      <c r="D31" s="71">
        <f>+C1</f>
        <v>60</v>
      </c>
      <c r="E31" s="64">
        <f>+IHERA!D24</f>
        <v>31709</v>
      </c>
      <c r="F31" s="64">
        <f>+IHERA!T24</f>
        <v>23.834802000000003</v>
      </c>
      <c r="G31" s="73">
        <f>+C1</f>
        <v>60</v>
      </c>
      <c r="H31" s="74">
        <f>+IHERA!D40</f>
        <v>36465</v>
      </c>
      <c r="I31" s="73">
        <f>+IHERA!T40</f>
        <v>25.632570000000001</v>
      </c>
      <c r="J31" s="48"/>
    </row>
    <row r="32" spans="1:10" ht="7.5" customHeight="1" x14ac:dyDescent="0.25">
      <c r="A32" s="48"/>
      <c r="B32" s="46"/>
      <c r="C32" s="46"/>
      <c r="D32" s="46"/>
      <c r="E32" s="46"/>
      <c r="F32" s="46"/>
      <c r="G32" s="46"/>
      <c r="H32" s="46"/>
      <c r="I32" s="46"/>
      <c r="J32" s="49"/>
    </row>
    <row r="33" spans="1:10" ht="17.55" customHeight="1" x14ac:dyDescent="0.25">
      <c r="A33" s="39" t="s">
        <v>406</v>
      </c>
      <c r="C33" s="49"/>
      <c r="G33" s="52"/>
      <c r="H33" s="52"/>
      <c r="I33" s="48"/>
      <c r="J33" s="48"/>
    </row>
    <row r="34" spans="1:10" s="77" customFormat="1" ht="17.55" customHeight="1" x14ac:dyDescent="0.25">
      <c r="A34" s="56"/>
      <c r="B34" s="76">
        <f>+F12/C31</f>
        <v>1.0804271120654489</v>
      </c>
      <c r="D34" s="56"/>
      <c r="E34" s="57">
        <f>+F12/F31</f>
        <v>0.99891749055266943</v>
      </c>
      <c r="G34" s="56"/>
      <c r="H34" s="57">
        <f>+F12/I31</f>
        <v>0.92885733274735027</v>
      </c>
      <c r="J34" s="58"/>
    </row>
    <row r="35" spans="1:10" ht="12" x14ac:dyDescent="0.25">
      <c r="A35" s="52"/>
      <c r="B35" s="45"/>
      <c r="C35" s="49"/>
      <c r="D35" s="45"/>
      <c r="E35" s="52"/>
      <c r="F35" s="52"/>
      <c r="G35" s="52"/>
      <c r="H35" s="52"/>
      <c r="I35" s="48"/>
      <c r="J35" s="48"/>
    </row>
    <row r="36" spans="1:10" ht="12" x14ac:dyDescent="0.25">
      <c r="B36" s="45"/>
      <c r="C36" s="49"/>
      <c r="D36" s="45"/>
      <c r="E36" s="52"/>
      <c r="F36" s="52"/>
      <c r="G36" s="52"/>
      <c r="H36" s="52"/>
      <c r="I36" s="48"/>
      <c r="J36" s="48"/>
    </row>
    <row r="37" spans="1:10" ht="12" x14ac:dyDescent="0.25">
      <c r="B37" s="45"/>
      <c r="C37" s="49"/>
      <c r="D37" s="45"/>
      <c r="E37" s="52"/>
      <c r="F37" s="52"/>
      <c r="G37" s="52"/>
      <c r="H37" s="52"/>
      <c r="I37" s="48"/>
      <c r="J37" s="48"/>
    </row>
    <row r="38" spans="1:10" x14ac:dyDescent="0.2">
      <c r="G38" s="52"/>
    </row>
  </sheetData>
  <phoneticPr fontId="1" type="noConversion"/>
  <hyperlinks>
    <hyperlink ref="C2" location="VidaUtil!A1" display="V. U."/>
    <hyperlink ref="A10" location="Repar!A1" display="Rep."/>
    <hyperlink ref="A1" location="Índice!A1" display="(voltar ao índice)"/>
  </hyperlinks>
  <printOptions gridLines="1" gridLinesSet="0"/>
  <pageMargins left="1.37" right="0.75" top="0.83" bottom="0" header="0.5" footer="0.5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/>
  <dimension ref="A1:E56"/>
  <sheetViews>
    <sheetView workbookViewId="0">
      <pane ySplit="2" topLeftCell="A3" activePane="bottomLeft" state="frozen"/>
      <selection pane="bottomLeft" activeCell="G18" sqref="G18"/>
    </sheetView>
  </sheetViews>
  <sheetFormatPr defaultColWidth="9.109375" defaultRowHeight="10.199999999999999" x14ac:dyDescent="0.2"/>
  <cols>
    <col min="1" max="1" width="67.44140625" style="3" customWidth="1"/>
    <col min="2" max="2" width="8.109375" style="3" customWidth="1"/>
    <col min="3" max="3" width="13.6640625" style="3" customWidth="1"/>
    <col min="4" max="4" width="9.109375" style="3"/>
    <col min="5" max="5" width="8" style="3" bestFit="1" customWidth="1"/>
    <col min="6" max="16384" width="9.109375" style="3"/>
  </cols>
  <sheetData>
    <row r="1" spans="1:3" ht="15" customHeight="1" x14ac:dyDescent="0.2">
      <c r="A1" s="83" t="s">
        <v>240</v>
      </c>
    </row>
    <row r="2" spans="1:3" ht="29.25" customHeight="1" thickBot="1" x14ac:dyDescent="0.25">
      <c r="A2" s="84" t="s">
        <v>51</v>
      </c>
      <c r="B2" s="85" t="s">
        <v>52</v>
      </c>
      <c r="C2" s="85" t="s">
        <v>53</v>
      </c>
    </row>
    <row r="3" spans="1:3" s="5" customFormat="1" ht="10.8" thickBot="1" x14ac:dyDescent="0.25">
      <c r="A3" s="7" t="s">
        <v>54</v>
      </c>
    </row>
    <row r="4" spans="1:3" x14ac:dyDescent="0.2">
      <c r="A4" s="8" t="s">
        <v>55</v>
      </c>
      <c r="B4" s="6" t="s">
        <v>56</v>
      </c>
      <c r="C4" s="6" t="s">
        <v>57</v>
      </c>
    </row>
    <row r="5" spans="1:3" x14ac:dyDescent="0.2">
      <c r="A5" s="9" t="s">
        <v>58</v>
      </c>
      <c r="B5" s="10" t="s">
        <v>59</v>
      </c>
      <c r="C5" s="11" t="s">
        <v>153</v>
      </c>
    </row>
    <row r="6" spans="1:3" x14ac:dyDescent="0.2">
      <c r="A6" s="9" t="s">
        <v>60</v>
      </c>
      <c r="B6" s="10" t="s">
        <v>61</v>
      </c>
      <c r="C6" s="10" t="s">
        <v>62</v>
      </c>
    </row>
    <row r="7" spans="1:3" x14ac:dyDescent="0.2">
      <c r="A7" s="9" t="s">
        <v>63</v>
      </c>
      <c r="B7" s="10" t="s">
        <v>64</v>
      </c>
      <c r="C7" s="10" t="s">
        <v>65</v>
      </c>
    </row>
    <row r="8" spans="1:3" x14ac:dyDescent="0.2">
      <c r="A8" s="9" t="s">
        <v>66</v>
      </c>
      <c r="B8" s="10" t="s">
        <v>67</v>
      </c>
      <c r="C8" s="10" t="s">
        <v>68</v>
      </c>
    </row>
    <row r="9" spans="1:3" x14ac:dyDescent="0.2">
      <c r="A9" s="9" t="s">
        <v>69</v>
      </c>
      <c r="B9" s="10" t="s">
        <v>70</v>
      </c>
      <c r="C9" s="10" t="s">
        <v>71</v>
      </c>
    </row>
    <row r="10" spans="1:3" x14ac:dyDescent="0.2">
      <c r="A10" s="9" t="s">
        <v>72</v>
      </c>
      <c r="B10" s="10" t="s">
        <v>70</v>
      </c>
      <c r="C10" s="10" t="s">
        <v>73</v>
      </c>
    </row>
    <row r="11" spans="1:3" x14ac:dyDescent="0.2">
      <c r="A11" s="9" t="s">
        <v>74</v>
      </c>
      <c r="B11" s="10" t="s">
        <v>75</v>
      </c>
      <c r="C11" s="10" t="s">
        <v>76</v>
      </c>
    </row>
    <row r="12" spans="1:3" x14ac:dyDescent="0.2">
      <c r="A12" s="9" t="s">
        <v>77</v>
      </c>
      <c r="B12" s="10" t="s">
        <v>78</v>
      </c>
      <c r="C12" s="10" t="s">
        <v>79</v>
      </c>
    </row>
    <row r="13" spans="1:3" x14ac:dyDescent="0.2">
      <c r="A13" s="9" t="s">
        <v>80</v>
      </c>
      <c r="B13" s="10" t="s">
        <v>70</v>
      </c>
      <c r="C13" s="10" t="s">
        <v>71</v>
      </c>
    </row>
    <row r="14" spans="1:3" x14ac:dyDescent="0.2">
      <c r="A14" s="9" t="s">
        <v>81</v>
      </c>
      <c r="B14" s="10" t="s">
        <v>75</v>
      </c>
      <c r="C14" s="10" t="s">
        <v>82</v>
      </c>
    </row>
    <row r="15" spans="1:3" x14ac:dyDescent="0.2">
      <c r="A15" s="9" t="s">
        <v>83</v>
      </c>
      <c r="B15" s="10" t="s">
        <v>84</v>
      </c>
      <c r="C15" s="10" t="s">
        <v>85</v>
      </c>
    </row>
    <row r="16" spans="1:3" x14ac:dyDescent="0.2">
      <c r="A16" s="9" t="s">
        <v>86</v>
      </c>
      <c r="B16" s="10" t="s">
        <v>75</v>
      </c>
      <c r="C16" s="10" t="s">
        <v>87</v>
      </c>
    </row>
    <row r="17" spans="1:3" ht="10.8" thickBot="1" x14ac:dyDescent="0.25">
      <c r="A17" s="12" t="s">
        <v>88</v>
      </c>
      <c r="B17" s="13"/>
      <c r="C17" s="13" t="s">
        <v>89</v>
      </c>
    </row>
    <row r="18" spans="1:3" ht="10.8" thickBot="1" x14ac:dyDescent="0.25">
      <c r="A18" s="14" t="s">
        <v>242</v>
      </c>
    </row>
    <row r="19" spans="1:3" x14ac:dyDescent="0.2">
      <c r="A19" s="15" t="s">
        <v>90</v>
      </c>
      <c r="B19" s="16" t="s">
        <v>91</v>
      </c>
      <c r="C19" s="16" t="s">
        <v>92</v>
      </c>
    </row>
    <row r="20" spans="1:3" x14ac:dyDescent="0.2">
      <c r="A20" s="9" t="s">
        <v>145</v>
      </c>
      <c r="B20" s="10" t="s">
        <v>93</v>
      </c>
      <c r="C20" s="10" t="s">
        <v>92</v>
      </c>
    </row>
    <row r="21" spans="1:3" x14ac:dyDescent="0.2">
      <c r="A21" s="9" t="s">
        <v>144</v>
      </c>
      <c r="B21" s="10" t="s">
        <v>94</v>
      </c>
      <c r="C21" s="17" t="s">
        <v>154</v>
      </c>
    </row>
    <row r="22" spans="1:3" x14ac:dyDescent="0.2">
      <c r="A22" s="9" t="s">
        <v>95</v>
      </c>
      <c r="B22" s="10"/>
      <c r="C22" s="10" t="s">
        <v>96</v>
      </c>
    </row>
    <row r="23" spans="1:3" x14ac:dyDescent="0.2">
      <c r="A23" s="9" t="s">
        <v>97</v>
      </c>
      <c r="B23" s="10"/>
      <c r="C23" s="10" t="s">
        <v>98</v>
      </c>
    </row>
    <row r="24" spans="1:3" x14ac:dyDescent="0.2">
      <c r="A24" s="9" t="s">
        <v>99</v>
      </c>
      <c r="B24" s="10" t="s">
        <v>100</v>
      </c>
      <c r="C24" s="10" t="s">
        <v>101</v>
      </c>
    </row>
    <row r="25" spans="1:3" x14ac:dyDescent="0.2">
      <c r="A25" s="9" t="s">
        <v>102</v>
      </c>
      <c r="B25" s="10" t="s">
        <v>100</v>
      </c>
      <c r="C25" s="11" t="s">
        <v>155</v>
      </c>
    </row>
    <row r="26" spans="1:3" x14ac:dyDescent="0.2">
      <c r="A26" s="9" t="s">
        <v>103</v>
      </c>
      <c r="B26" s="10" t="s">
        <v>104</v>
      </c>
      <c r="C26" s="10" t="s">
        <v>105</v>
      </c>
    </row>
    <row r="27" spans="1:3" x14ac:dyDescent="0.2">
      <c r="A27" s="9" t="s">
        <v>106</v>
      </c>
      <c r="B27" s="10"/>
      <c r="C27" s="10" t="s">
        <v>107</v>
      </c>
    </row>
    <row r="28" spans="1:3" x14ac:dyDescent="0.2">
      <c r="A28" s="9" t="s">
        <v>108</v>
      </c>
      <c r="B28" s="10" t="s">
        <v>109</v>
      </c>
      <c r="C28" s="10" t="s">
        <v>110</v>
      </c>
    </row>
    <row r="29" spans="1:3" x14ac:dyDescent="0.2">
      <c r="A29" s="9" t="s">
        <v>111</v>
      </c>
      <c r="B29" s="10" t="s">
        <v>112</v>
      </c>
      <c r="C29" s="11" t="s">
        <v>156</v>
      </c>
    </row>
    <row r="30" spans="1:3" ht="10.8" thickBot="1" x14ac:dyDescent="0.25">
      <c r="A30" s="12" t="s">
        <v>113</v>
      </c>
      <c r="B30" s="13"/>
      <c r="C30" s="13" t="s">
        <v>114</v>
      </c>
    </row>
    <row r="31" spans="1:3" ht="10.8" thickBot="1" x14ac:dyDescent="0.25">
      <c r="A31" s="18" t="s">
        <v>243</v>
      </c>
    </row>
    <row r="32" spans="1:3" x14ac:dyDescent="0.2">
      <c r="A32" s="15" t="s">
        <v>115</v>
      </c>
      <c r="B32" s="16" t="s">
        <v>78</v>
      </c>
      <c r="C32" s="16" t="s">
        <v>65</v>
      </c>
    </row>
    <row r="33" spans="1:3" x14ac:dyDescent="0.2">
      <c r="A33" s="9" t="s">
        <v>116</v>
      </c>
      <c r="B33" s="10" t="s">
        <v>117</v>
      </c>
      <c r="C33" s="10" t="s">
        <v>118</v>
      </c>
    </row>
    <row r="34" spans="1:3" x14ac:dyDescent="0.2">
      <c r="A34" s="9" t="s">
        <v>119</v>
      </c>
      <c r="B34" s="10" t="s">
        <v>120</v>
      </c>
      <c r="C34" s="10" t="s">
        <v>121</v>
      </c>
    </row>
    <row r="35" spans="1:3" x14ac:dyDescent="0.2">
      <c r="A35" s="9" t="s">
        <v>122</v>
      </c>
      <c r="B35" s="10" t="s">
        <v>123</v>
      </c>
      <c r="C35" s="10" t="s">
        <v>124</v>
      </c>
    </row>
    <row r="36" spans="1:3" x14ac:dyDescent="0.2">
      <c r="A36" s="9" t="s">
        <v>125</v>
      </c>
      <c r="B36" s="10" t="s">
        <v>112</v>
      </c>
      <c r="C36" s="10" t="s">
        <v>126</v>
      </c>
    </row>
    <row r="37" spans="1:3" x14ac:dyDescent="0.2">
      <c r="A37" s="9" t="s">
        <v>127</v>
      </c>
      <c r="B37" s="10" t="s">
        <v>112</v>
      </c>
      <c r="C37" s="10" t="s">
        <v>128</v>
      </c>
    </row>
    <row r="38" spans="1:3" x14ac:dyDescent="0.2">
      <c r="A38" s="9" t="s">
        <v>129</v>
      </c>
      <c r="B38" s="10" t="s">
        <v>130</v>
      </c>
      <c r="C38" s="10" t="s">
        <v>96</v>
      </c>
    </row>
    <row r="39" spans="1:3" x14ac:dyDescent="0.2">
      <c r="A39" s="9" t="s">
        <v>131</v>
      </c>
      <c r="B39" s="10" t="s">
        <v>93</v>
      </c>
      <c r="C39" s="10" t="s">
        <v>98</v>
      </c>
    </row>
    <row r="40" spans="1:3" x14ac:dyDescent="0.2">
      <c r="A40" s="9" t="s">
        <v>132</v>
      </c>
      <c r="B40" s="10" t="s">
        <v>93</v>
      </c>
      <c r="C40" s="10" t="s">
        <v>96</v>
      </c>
    </row>
    <row r="41" spans="1:3" x14ac:dyDescent="0.2">
      <c r="A41" s="9" t="s">
        <v>133</v>
      </c>
      <c r="B41" s="10" t="s">
        <v>120</v>
      </c>
      <c r="C41" s="10" t="s">
        <v>134</v>
      </c>
    </row>
    <row r="42" spans="1:3" x14ac:dyDescent="0.2">
      <c r="A42" s="9" t="s">
        <v>135</v>
      </c>
      <c r="B42" s="10" t="s">
        <v>136</v>
      </c>
      <c r="C42" s="10" t="s">
        <v>73</v>
      </c>
    </row>
    <row r="43" spans="1:3" x14ac:dyDescent="0.2">
      <c r="A43" s="9" t="s">
        <v>137</v>
      </c>
      <c r="B43" s="10" t="s">
        <v>75</v>
      </c>
      <c r="C43" s="10" t="s">
        <v>138</v>
      </c>
    </row>
    <row r="44" spans="1:3" ht="10.8" thickBot="1" x14ac:dyDescent="0.25">
      <c r="A44" s="12" t="s">
        <v>139</v>
      </c>
      <c r="B44" s="13" t="s">
        <v>140</v>
      </c>
      <c r="C44" s="13" t="s">
        <v>92</v>
      </c>
    </row>
    <row r="45" spans="1:3" ht="10.8" thickBot="1" x14ac:dyDescent="0.25">
      <c r="A45" s="19" t="s">
        <v>244</v>
      </c>
    </row>
    <row r="46" spans="1:3" x14ac:dyDescent="0.2">
      <c r="A46" s="15" t="s">
        <v>141</v>
      </c>
      <c r="B46" s="16"/>
      <c r="C46" s="16" t="s">
        <v>142</v>
      </c>
    </row>
    <row r="47" spans="1:3" ht="10.8" thickBot="1" x14ac:dyDescent="0.25">
      <c r="A47" s="12" t="s">
        <v>143</v>
      </c>
      <c r="B47" s="13"/>
      <c r="C47" s="13">
        <f>-     - 30</f>
        <v>30</v>
      </c>
    </row>
    <row r="48" spans="1:3" x14ac:dyDescent="0.2">
      <c r="A48" s="20"/>
    </row>
    <row r="49" spans="1:5" x14ac:dyDescent="0.2">
      <c r="A49" s="21" t="s">
        <v>146</v>
      </c>
    </row>
    <row r="50" spans="1:5" x14ac:dyDescent="0.2">
      <c r="A50" s="20" t="s">
        <v>147</v>
      </c>
    </row>
    <row r="51" spans="1:5" x14ac:dyDescent="0.2">
      <c r="A51" s="20" t="s">
        <v>148</v>
      </c>
    </row>
    <row r="52" spans="1:5" x14ac:dyDescent="0.2">
      <c r="A52" s="20" t="s">
        <v>149</v>
      </c>
    </row>
    <row r="53" spans="1:5" x14ac:dyDescent="0.2">
      <c r="A53" s="22" t="s">
        <v>150</v>
      </c>
      <c r="E53" s="20"/>
    </row>
    <row r="54" spans="1:5" x14ac:dyDescent="0.2">
      <c r="A54" s="20" t="s">
        <v>151</v>
      </c>
    </row>
    <row r="55" spans="1:5" x14ac:dyDescent="0.2">
      <c r="A55" s="20" t="s">
        <v>152</v>
      </c>
    </row>
    <row r="56" spans="1:5" x14ac:dyDescent="0.2">
      <c r="A56" s="20"/>
    </row>
  </sheetData>
  <phoneticPr fontId="1" type="noConversion"/>
  <hyperlinks>
    <hyperlink ref="A1" location="Índice!A1" display="(voltar ao índice)"/>
  </hyperlinks>
  <printOptions horizontalCentered="1" verticalCentered="1" gridLines="1"/>
  <pageMargins left="0.39370078740157483" right="0.74803149606299213" top="0.47244094488188981" bottom="0.15748031496062992" header="0" footer="0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"/>
  <dimension ref="A1:G35"/>
  <sheetViews>
    <sheetView workbookViewId="0">
      <pane ySplit="4" topLeftCell="A5" activePane="bottomLeft" state="frozen"/>
      <selection pane="bottomLeft" activeCell="I15" sqref="I15"/>
    </sheetView>
  </sheetViews>
  <sheetFormatPr defaultColWidth="9.109375" defaultRowHeight="10.199999999999999" x14ac:dyDescent="0.2"/>
  <cols>
    <col min="1" max="1" width="77.5546875" style="3" customWidth="1"/>
    <col min="2" max="7" width="7.6640625" style="2" customWidth="1"/>
    <col min="8" max="16384" width="9.109375" style="3"/>
  </cols>
  <sheetData>
    <row r="1" spans="1:6" x14ac:dyDescent="0.2">
      <c r="A1" s="83" t="s">
        <v>240</v>
      </c>
    </row>
    <row r="2" spans="1:6" ht="15" customHeight="1" thickBot="1" x14ac:dyDescent="0.3">
      <c r="A2" s="86" t="s">
        <v>409</v>
      </c>
    </row>
    <row r="3" spans="1:6" ht="11.25" customHeight="1" x14ac:dyDescent="0.2">
      <c r="A3" s="177" t="s">
        <v>158</v>
      </c>
      <c r="B3" s="23"/>
      <c r="C3" s="23"/>
      <c r="D3" s="23" t="s">
        <v>182</v>
      </c>
      <c r="E3" s="23"/>
      <c r="F3" s="23"/>
    </row>
    <row r="4" spans="1:6" ht="12" customHeight="1" thickBot="1" x14ac:dyDescent="0.25">
      <c r="A4" s="178"/>
      <c r="B4" s="13">
        <v>25</v>
      </c>
      <c r="C4" s="24">
        <v>50</v>
      </c>
      <c r="D4" s="24">
        <v>100</v>
      </c>
      <c r="E4" s="24">
        <v>200</v>
      </c>
      <c r="F4" s="24">
        <v>300</v>
      </c>
    </row>
    <row r="5" spans="1:6" x14ac:dyDescent="0.2">
      <c r="A5" s="19" t="s">
        <v>159</v>
      </c>
      <c r="B5" s="25"/>
    </row>
    <row r="6" spans="1:6" x14ac:dyDescent="0.2">
      <c r="A6" s="179" t="s">
        <v>160</v>
      </c>
      <c r="B6" s="10"/>
      <c r="C6" s="10"/>
      <c r="D6" s="10"/>
      <c r="E6" s="10"/>
      <c r="F6" s="10"/>
    </row>
    <row r="7" spans="1:6" x14ac:dyDescent="0.2">
      <c r="A7" s="179"/>
      <c r="B7" s="10" t="s">
        <v>161</v>
      </c>
      <c r="C7" s="10" t="s">
        <v>161</v>
      </c>
      <c r="D7" s="10" t="s">
        <v>161</v>
      </c>
      <c r="E7" s="10">
        <v>12</v>
      </c>
      <c r="F7" s="10">
        <v>10</v>
      </c>
    </row>
    <row r="8" spans="1:6" x14ac:dyDescent="0.2">
      <c r="A8" s="9"/>
      <c r="B8" s="10"/>
      <c r="C8" s="10"/>
      <c r="D8" s="10"/>
      <c r="E8" s="10"/>
      <c r="F8" s="10"/>
    </row>
    <row r="9" spans="1:6" x14ac:dyDescent="0.2">
      <c r="A9" s="19" t="s">
        <v>162</v>
      </c>
      <c r="B9" s="180"/>
      <c r="C9" s="180"/>
      <c r="D9" s="180"/>
      <c r="E9" s="180"/>
      <c r="F9" s="180"/>
    </row>
    <row r="10" spans="1:6" x14ac:dyDescent="0.2">
      <c r="A10" s="179" t="s">
        <v>163</v>
      </c>
      <c r="B10" s="10"/>
      <c r="C10" s="10"/>
      <c r="D10" s="10"/>
      <c r="E10" s="10"/>
      <c r="F10" s="10"/>
    </row>
    <row r="11" spans="1:6" x14ac:dyDescent="0.2">
      <c r="A11" s="179"/>
      <c r="B11" s="10" t="s">
        <v>161</v>
      </c>
      <c r="C11" s="10" t="s">
        <v>161</v>
      </c>
      <c r="D11" s="10">
        <v>12</v>
      </c>
      <c r="E11" s="10">
        <v>10</v>
      </c>
      <c r="F11" s="10">
        <v>8</v>
      </c>
    </row>
    <row r="12" spans="1:6" x14ac:dyDescent="0.2">
      <c r="A12" s="9"/>
      <c r="B12" s="10"/>
      <c r="C12" s="10"/>
      <c r="D12" s="10"/>
      <c r="E12" s="10"/>
      <c r="F12" s="10"/>
    </row>
    <row r="13" spans="1:6" x14ac:dyDescent="0.2">
      <c r="A13" s="19" t="s">
        <v>164</v>
      </c>
      <c r="B13" s="180"/>
      <c r="C13" s="180"/>
      <c r="D13" s="180"/>
      <c r="E13" s="180"/>
      <c r="F13" s="180"/>
    </row>
    <row r="14" spans="1:6" x14ac:dyDescent="0.2">
      <c r="A14" s="9" t="s">
        <v>165</v>
      </c>
      <c r="B14" s="10" t="s">
        <v>161</v>
      </c>
      <c r="C14" s="10" t="s">
        <v>161</v>
      </c>
      <c r="D14" s="10">
        <v>12</v>
      </c>
      <c r="E14" s="10">
        <v>9</v>
      </c>
      <c r="F14" s="10">
        <v>7</v>
      </c>
    </row>
    <row r="15" spans="1:6" x14ac:dyDescent="0.2">
      <c r="A15" s="9"/>
      <c r="B15" s="10"/>
      <c r="C15" s="10"/>
      <c r="D15" s="10"/>
      <c r="E15" s="10"/>
      <c r="F15" s="10"/>
    </row>
    <row r="16" spans="1:6" x14ac:dyDescent="0.2">
      <c r="A16" s="19" t="s">
        <v>166</v>
      </c>
      <c r="B16" s="180"/>
      <c r="C16" s="180"/>
      <c r="D16" s="180"/>
      <c r="E16" s="180"/>
      <c r="F16" s="180"/>
    </row>
    <row r="17" spans="1:7" x14ac:dyDescent="0.2">
      <c r="A17" s="179" t="s">
        <v>167</v>
      </c>
      <c r="B17" s="10"/>
      <c r="C17" s="10"/>
      <c r="D17" s="10"/>
      <c r="E17" s="10"/>
      <c r="F17" s="10"/>
    </row>
    <row r="18" spans="1:7" x14ac:dyDescent="0.2">
      <c r="A18" s="179"/>
      <c r="B18" s="10" t="s">
        <v>161</v>
      </c>
      <c r="C18" s="10">
        <v>12</v>
      </c>
      <c r="D18" s="10">
        <v>11</v>
      </c>
      <c r="E18" s="10">
        <v>8</v>
      </c>
      <c r="F18" s="10">
        <v>6</v>
      </c>
    </row>
    <row r="19" spans="1:7" x14ac:dyDescent="0.2">
      <c r="A19" s="9"/>
      <c r="B19" s="10"/>
      <c r="C19" s="10"/>
      <c r="D19" s="10"/>
      <c r="E19" s="10"/>
      <c r="F19" s="10"/>
    </row>
    <row r="20" spans="1:7" x14ac:dyDescent="0.2">
      <c r="A20" s="19" t="s">
        <v>168</v>
      </c>
      <c r="B20" s="180"/>
      <c r="C20" s="180"/>
      <c r="D20" s="180"/>
      <c r="E20" s="180"/>
      <c r="F20" s="180"/>
    </row>
    <row r="21" spans="1:7" x14ac:dyDescent="0.2">
      <c r="A21" s="179" t="s">
        <v>169</v>
      </c>
      <c r="B21" s="10"/>
      <c r="C21" s="10"/>
      <c r="D21" s="10"/>
      <c r="E21" s="10"/>
      <c r="F21" s="10"/>
    </row>
    <row r="22" spans="1:7" x14ac:dyDescent="0.2">
      <c r="A22" s="179"/>
      <c r="B22" s="10">
        <v>10</v>
      </c>
      <c r="C22" s="10">
        <v>10</v>
      </c>
      <c r="D22" s="10">
        <v>9</v>
      </c>
      <c r="E22" s="10">
        <v>8</v>
      </c>
      <c r="F22" s="10">
        <v>7</v>
      </c>
    </row>
    <row r="23" spans="1:7" x14ac:dyDescent="0.2">
      <c r="A23" s="9"/>
      <c r="B23" s="10"/>
      <c r="C23" s="10"/>
      <c r="D23" s="10"/>
      <c r="E23" s="10"/>
      <c r="F23" s="10"/>
    </row>
    <row r="24" spans="1:7" x14ac:dyDescent="0.2">
      <c r="A24" s="19" t="s">
        <v>170</v>
      </c>
      <c r="B24" s="180"/>
      <c r="C24" s="180"/>
      <c r="D24" s="180"/>
      <c r="E24" s="180"/>
      <c r="F24" s="180"/>
    </row>
    <row r="25" spans="1:7" x14ac:dyDescent="0.2">
      <c r="A25" s="9" t="s">
        <v>171</v>
      </c>
      <c r="B25" s="10">
        <v>11</v>
      </c>
      <c r="C25" s="10">
        <v>10</v>
      </c>
      <c r="D25" s="10">
        <v>9</v>
      </c>
      <c r="E25" s="10">
        <v>6</v>
      </c>
      <c r="F25" s="10">
        <v>5</v>
      </c>
    </row>
    <row r="26" spans="1:7" x14ac:dyDescent="0.2">
      <c r="A26" s="9" t="s">
        <v>172</v>
      </c>
      <c r="B26" s="10" t="s">
        <v>173</v>
      </c>
      <c r="C26" s="10">
        <v>8</v>
      </c>
      <c r="D26" s="10">
        <v>7</v>
      </c>
      <c r="E26" s="10">
        <v>5</v>
      </c>
      <c r="F26" s="10" t="s">
        <v>173</v>
      </c>
    </row>
    <row r="27" spans="1:7" ht="10.8" thickBot="1" x14ac:dyDescent="0.25">
      <c r="A27" s="12" t="s">
        <v>174</v>
      </c>
      <c r="B27" s="13" t="s">
        <v>175</v>
      </c>
      <c r="C27" s="13" t="s">
        <v>173</v>
      </c>
      <c r="D27" s="13" t="s">
        <v>176</v>
      </c>
      <c r="E27" s="13">
        <v>12</v>
      </c>
      <c r="F27" s="13">
        <v>10</v>
      </c>
    </row>
    <row r="28" spans="1:7" ht="10.8" thickBot="1" x14ac:dyDescent="0.25">
      <c r="A28" s="21"/>
      <c r="B28" s="26"/>
      <c r="G28" s="23"/>
    </row>
    <row r="29" spans="1:7" x14ac:dyDescent="0.2">
      <c r="A29" s="181" t="s">
        <v>177</v>
      </c>
      <c r="C29" s="23"/>
      <c r="D29" s="23" t="s">
        <v>181</v>
      </c>
      <c r="E29" s="23"/>
      <c r="F29" s="23"/>
      <c r="G29" s="23"/>
    </row>
    <row r="30" spans="1:7" ht="10.8" thickBot="1" x14ac:dyDescent="0.25">
      <c r="A30" s="182"/>
      <c r="B30" s="13">
        <v>500</v>
      </c>
      <c r="C30" s="24">
        <v>750</v>
      </c>
      <c r="D30" s="24">
        <v>1000</v>
      </c>
      <c r="E30" s="28">
        <v>1500</v>
      </c>
      <c r="F30" s="24">
        <v>2000</v>
      </c>
      <c r="G30" s="24">
        <v>2500</v>
      </c>
    </row>
    <row r="31" spans="1:7" x14ac:dyDescent="0.2">
      <c r="A31" s="29"/>
    </row>
    <row r="32" spans="1:7" x14ac:dyDescent="0.2">
      <c r="A32" s="19" t="s">
        <v>178</v>
      </c>
      <c r="B32" s="10" t="s">
        <v>161</v>
      </c>
      <c r="C32" s="10">
        <v>12</v>
      </c>
      <c r="D32" s="10">
        <v>10</v>
      </c>
      <c r="E32" s="10">
        <v>7</v>
      </c>
      <c r="F32" s="10">
        <v>6</v>
      </c>
      <c r="G32" s="10">
        <v>5</v>
      </c>
    </row>
    <row r="33" spans="1:7" ht="10.8" thickBot="1" x14ac:dyDescent="0.25">
      <c r="A33" s="27" t="s">
        <v>179</v>
      </c>
      <c r="B33" s="13" t="s">
        <v>161</v>
      </c>
      <c r="C33" s="13" t="s">
        <v>161</v>
      </c>
      <c r="D33" s="13" t="s">
        <v>161</v>
      </c>
      <c r="E33" s="13" t="s">
        <v>161</v>
      </c>
      <c r="F33" s="13">
        <v>12</v>
      </c>
      <c r="G33" s="13">
        <v>12</v>
      </c>
    </row>
    <row r="35" spans="1:7" x14ac:dyDescent="0.2">
      <c r="A35" s="3" t="s">
        <v>180</v>
      </c>
    </row>
  </sheetData>
  <mergeCells count="11">
    <mergeCell ref="B24:F24"/>
    <mergeCell ref="A29:A30"/>
    <mergeCell ref="B13:F13"/>
    <mergeCell ref="B16:F16"/>
    <mergeCell ref="A17:A18"/>
    <mergeCell ref="B20:F20"/>
    <mergeCell ref="A3:A4"/>
    <mergeCell ref="A6:A7"/>
    <mergeCell ref="B9:F9"/>
    <mergeCell ref="A10:A11"/>
    <mergeCell ref="A21:A22"/>
  </mergeCells>
  <phoneticPr fontId="1" type="noConversion"/>
  <hyperlinks>
    <hyperlink ref="A1" location="Índice!A1" display="(voltar ao índice)"/>
  </hyperlinks>
  <printOptions horizontalCentered="1" verticalCentered="1" gridLines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6"/>
  <sheetViews>
    <sheetView workbookViewId="0">
      <pane ySplit="3" topLeftCell="A133" activePane="bottomLeft" state="frozen"/>
      <selection pane="bottomLeft" activeCell="J6" sqref="J6"/>
    </sheetView>
  </sheetViews>
  <sheetFormatPr defaultColWidth="9.109375" defaultRowHeight="10.199999999999999" x14ac:dyDescent="0.2"/>
  <cols>
    <col min="1" max="1" width="26.44140625" style="149" customWidth="1"/>
    <col min="2" max="2" width="9" style="109" bestFit="1" customWidth="1"/>
    <col min="3" max="3" width="10" style="109" customWidth="1"/>
    <col min="4" max="4" width="9.88671875" style="109" customWidth="1"/>
    <col min="5" max="5" width="10.33203125" style="109" customWidth="1"/>
    <col min="6" max="6" width="12.33203125" style="109" customWidth="1"/>
    <col min="7" max="8" width="8.44140625" style="109" customWidth="1"/>
    <col min="9" max="9" width="9.6640625" style="109" customWidth="1"/>
    <col min="10" max="10" width="5.109375" style="110" customWidth="1"/>
    <col min="11" max="11" width="5.5546875" style="110" customWidth="1"/>
    <col min="12" max="16384" width="9.109375" style="109"/>
  </cols>
  <sheetData>
    <row r="1" spans="1:11" x14ac:dyDescent="0.2">
      <c r="A1" s="108" t="s">
        <v>240</v>
      </c>
    </row>
    <row r="2" spans="1:11" x14ac:dyDescent="0.2">
      <c r="A2" s="183" t="s">
        <v>258</v>
      </c>
      <c r="B2" s="185" t="s">
        <v>259</v>
      </c>
      <c r="C2" s="186"/>
      <c r="D2" s="186"/>
      <c r="E2" s="187"/>
      <c r="F2" s="33" t="s">
        <v>260</v>
      </c>
      <c r="G2" s="34" t="s">
        <v>410</v>
      </c>
      <c r="H2" s="35" t="s">
        <v>261</v>
      </c>
      <c r="I2" s="36" t="s">
        <v>411</v>
      </c>
      <c r="J2" s="188" t="s">
        <v>262</v>
      </c>
      <c r="K2" s="189"/>
    </row>
    <row r="3" spans="1:11" x14ac:dyDescent="0.2">
      <c r="A3" s="184"/>
      <c r="B3" s="111" t="s">
        <v>263</v>
      </c>
      <c r="C3" s="112" t="s">
        <v>264</v>
      </c>
      <c r="D3" s="112" t="s">
        <v>265</v>
      </c>
      <c r="E3" s="112" t="s">
        <v>266</v>
      </c>
      <c r="F3" s="37" t="s">
        <v>267</v>
      </c>
      <c r="G3" s="113" t="s">
        <v>268</v>
      </c>
      <c r="H3" s="112" t="s">
        <v>269</v>
      </c>
      <c r="I3" s="114" t="s">
        <v>0</v>
      </c>
      <c r="J3" s="114" t="s">
        <v>270</v>
      </c>
      <c r="K3" s="114" t="s">
        <v>271</v>
      </c>
    </row>
    <row r="4" spans="1:11" x14ac:dyDescent="0.2">
      <c r="A4" s="115" t="s">
        <v>272</v>
      </c>
      <c r="B4" s="31"/>
      <c r="C4" s="116"/>
      <c r="D4" s="116"/>
      <c r="E4" s="116"/>
      <c r="F4" s="31"/>
      <c r="G4" s="32"/>
      <c r="H4" s="116"/>
      <c r="I4" s="117"/>
      <c r="J4" s="118"/>
      <c r="K4" s="118"/>
    </row>
    <row r="5" spans="1:11" x14ac:dyDescent="0.2">
      <c r="A5" s="119" t="s">
        <v>273</v>
      </c>
      <c r="B5" s="120">
        <v>1</v>
      </c>
      <c r="C5" s="121">
        <f t="shared" ref="C5:C11" si="0">1*12*2.54/100</f>
        <v>0.30480000000000002</v>
      </c>
      <c r="D5" s="121">
        <f t="shared" ref="D5:D11" si="1">+B5*C5*1.1</f>
        <v>0.33528000000000002</v>
      </c>
      <c r="E5" s="121">
        <v>0.25</v>
      </c>
      <c r="F5" s="120">
        <v>750</v>
      </c>
      <c r="G5" s="122">
        <v>5</v>
      </c>
      <c r="H5" s="121">
        <f>(+D5*E5)/10*F5</f>
        <v>6.2865000000000002</v>
      </c>
      <c r="I5" s="123">
        <v>50</v>
      </c>
      <c r="J5" s="124">
        <f t="shared" ref="J5:J11" si="2">1.36*K5</f>
        <v>23.748999999999999</v>
      </c>
      <c r="K5" s="124">
        <f t="shared" ref="K5:K11" si="3">(G5/3.6*H5)/(I5/100)</f>
        <v>17.462499999999999</v>
      </c>
    </row>
    <row r="6" spans="1:11" x14ac:dyDescent="0.2">
      <c r="A6" s="125"/>
      <c r="B6" s="120">
        <v>2</v>
      </c>
      <c r="C6" s="121">
        <f t="shared" si="0"/>
        <v>0.30480000000000002</v>
      </c>
      <c r="D6" s="121">
        <f t="shared" si="1"/>
        <v>0.67056000000000004</v>
      </c>
      <c r="E6" s="121">
        <v>0.25</v>
      </c>
      <c r="F6" s="120">
        <v>750</v>
      </c>
      <c r="G6" s="122">
        <v>5</v>
      </c>
      <c r="H6" s="121">
        <f t="shared" ref="H6:H22" si="4">(+D6*E6)/10*F6</f>
        <v>12.573</v>
      </c>
      <c r="I6" s="123">
        <v>50</v>
      </c>
      <c r="J6" s="124">
        <f t="shared" si="2"/>
        <v>47.497999999999998</v>
      </c>
      <c r="K6" s="124">
        <f t="shared" si="3"/>
        <v>34.924999999999997</v>
      </c>
    </row>
    <row r="7" spans="1:11" x14ac:dyDescent="0.2">
      <c r="A7" s="125"/>
      <c r="B7" s="120">
        <v>3</v>
      </c>
      <c r="C7" s="121">
        <f t="shared" si="0"/>
        <v>0.30480000000000002</v>
      </c>
      <c r="D7" s="121">
        <f t="shared" si="1"/>
        <v>1.0058400000000003</v>
      </c>
      <c r="E7" s="121">
        <v>0.25</v>
      </c>
      <c r="F7" s="120">
        <v>750</v>
      </c>
      <c r="G7" s="122">
        <v>5</v>
      </c>
      <c r="H7" s="121">
        <f t="shared" si="4"/>
        <v>18.859500000000008</v>
      </c>
      <c r="I7" s="123">
        <v>50</v>
      </c>
      <c r="J7" s="124">
        <f t="shared" si="2"/>
        <v>71.247000000000028</v>
      </c>
      <c r="K7" s="124">
        <f t="shared" si="3"/>
        <v>52.387500000000017</v>
      </c>
    </row>
    <row r="8" spans="1:11" x14ac:dyDescent="0.2">
      <c r="A8" s="125"/>
      <c r="B8" s="120">
        <v>4</v>
      </c>
      <c r="C8" s="121">
        <f t="shared" si="0"/>
        <v>0.30480000000000002</v>
      </c>
      <c r="D8" s="121">
        <f t="shared" si="1"/>
        <v>1.3411200000000001</v>
      </c>
      <c r="E8" s="121">
        <v>0.25</v>
      </c>
      <c r="F8" s="120">
        <v>750</v>
      </c>
      <c r="G8" s="122">
        <v>5</v>
      </c>
      <c r="H8" s="121">
        <f t="shared" si="4"/>
        <v>25.146000000000001</v>
      </c>
      <c r="I8" s="123">
        <v>50</v>
      </c>
      <c r="J8" s="124">
        <f t="shared" si="2"/>
        <v>94.995999999999995</v>
      </c>
      <c r="K8" s="124">
        <f t="shared" si="3"/>
        <v>69.849999999999994</v>
      </c>
    </row>
    <row r="9" spans="1:11" x14ac:dyDescent="0.2">
      <c r="A9" s="125"/>
      <c r="B9" s="120"/>
      <c r="C9" s="121"/>
      <c r="D9" s="121"/>
      <c r="E9" s="121"/>
      <c r="F9" s="120"/>
      <c r="G9" s="122"/>
      <c r="H9" s="121"/>
      <c r="I9" s="123"/>
      <c r="J9" s="124"/>
      <c r="K9" s="124"/>
    </row>
    <row r="10" spans="1:11" x14ac:dyDescent="0.2">
      <c r="A10" s="119" t="s">
        <v>274</v>
      </c>
      <c r="B10" s="120">
        <v>2</v>
      </c>
      <c r="C10" s="121">
        <f t="shared" si="0"/>
        <v>0.30480000000000002</v>
      </c>
      <c r="D10" s="121">
        <f t="shared" si="1"/>
        <v>0.67056000000000004</v>
      </c>
      <c r="E10" s="121">
        <v>0.25</v>
      </c>
      <c r="F10" s="120">
        <v>750</v>
      </c>
      <c r="G10" s="122">
        <v>5</v>
      </c>
      <c r="H10" s="121">
        <f t="shared" si="4"/>
        <v>12.573</v>
      </c>
      <c r="I10" s="123">
        <v>50</v>
      </c>
      <c r="J10" s="124">
        <f t="shared" si="2"/>
        <v>47.497999999999998</v>
      </c>
      <c r="K10" s="124">
        <f t="shared" si="3"/>
        <v>34.924999999999997</v>
      </c>
    </row>
    <row r="11" spans="1:11" x14ac:dyDescent="0.2">
      <c r="A11" s="125"/>
      <c r="B11" s="120">
        <v>3</v>
      </c>
      <c r="C11" s="121">
        <f t="shared" si="0"/>
        <v>0.30480000000000002</v>
      </c>
      <c r="D11" s="121">
        <f t="shared" si="1"/>
        <v>1.0058400000000003</v>
      </c>
      <c r="E11" s="121">
        <v>0.25</v>
      </c>
      <c r="F11" s="120">
        <v>750</v>
      </c>
      <c r="G11" s="122">
        <v>5</v>
      </c>
      <c r="H11" s="121">
        <f t="shared" si="4"/>
        <v>18.859500000000008</v>
      </c>
      <c r="I11" s="123">
        <v>50</v>
      </c>
      <c r="J11" s="124">
        <f t="shared" si="2"/>
        <v>71.247000000000028</v>
      </c>
      <c r="K11" s="124">
        <f t="shared" si="3"/>
        <v>52.387500000000017</v>
      </c>
    </row>
    <row r="12" spans="1:11" x14ac:dyDescent="0.2">
      <c r="A12" s="126" t="s">
        <v>220</v>
      </c>
      <c r="B12" s="120"/>
      <c r="C12" s="121"/>
      <c r="D12" s="121"/>
      <c r="E12" s="121"/>
      <c r="F12" s="120"/>
      <c r="G12" s="122"/>
      <c r="H12" s="121"/>
      <c r="I12" s="123"/>
      <c r="J12" s="124"/>
      <c r="K12" s="124"/>
    </row>
    <row r="13" spans="1:11" x14ac:dyDescent="0.2">
      <c r="A13" s="119" t="s">
        <v>275</v>
      </c>
      <c r="B13" s="120">
        <v>1</v>
      </c>
      <c r="C13" s="121">
        <v>0.5</v>
      </c>
      <c r="D13" s="121">
        <f>+B13*C13</f>
        <v>0.5</v>
      </c>
      <c r="E13" s="121">
        <v>0.5</v>
      </c>
      <c r="F13" s="120">
        <v>1000</v>
      </c>
      <c r="G13" s="122">
        <v>2</v>
      </c>
      <c r="H13" s="121">
        <f t="shared" si="4"/>
        <v>25</v>
      </c>
      <c r="I13" s="123">
        <v>50</v>
      </c>
      <c r="J13" s="124">
        <f>1.36*K13</f>
        <v>37.777777777777779</v>
      </c>
      <c r="K13" s="124">
        <f>(G13/3.6*H13)/(I13/100)</f>
        <v>27.777777777777779</v>
      </c>
    </row>
    <row r="14" spans="1:11" x14ac:dyDescent="0.2">
      <c r="A14" s="125"/>
      <c r="B14" s="120">
        <v>2</v>
      </c>
      <c r="C14" s="121">
        <v>0.5</v>
      </c>
      <c r="D14" s="121">
        <f>+B14*C14</f>
        <v>1</v>
      </c>
      <c r="E14" s="121">
        <v>0.5</v>
      </c>
      <c r="F14" s="120">
        <v>1000</v>
      </c>
      <c r="G14" s="122">
        <v>2</v>
      </c>
      <c r="H14" s="121">
        <f t="shared" si="4"/>
        <v>50</v>
      </c>
      <c r="I14" s="123">
        <v>50</v>
      </c>
      <c r="J14" s="124">
        <f>1.36*K14</f>
        <v>75.555555555555557</v>
      </c>
      <c r="K14" s="124">
        <f>(G14/3.6*H14)/(I14/100)</f>
        <v>55.555555555555557</v>
      </c>
    </row>
    <row r="15" spans="1:11" x14ac:dyDescent="0.2">
      <c r="A15" s="125"/>
      <c r="B15" s="120">
        <v>3</v>
      </c>
      <c r="C15" s="121">
        <v>0.5</v>
      </c>
      <c r="D15" s="121">
        <f>+B15*C15</f>
        <v>1.5</v>
      </c>
      <c r="E15" s="121">
        <v>0.5</v>
      </c>
      <c r="F15" s="120">
        <v>1000</v>
      </c>
      <c r="G15" s="122">
        <v>2</v>
      </c>
      <c r="H15" s="121">
        <f t="shared" si="4"/>
        <v>75</v>
      </c>
      <c r="I15" s="123">
        <v>50</v>
      </c>
      <c r="J15" s="124">
        <f>1.36*K15</f>
        <v>113.33333333333336</v>
      </c>
      <c r="K15" s="124">
        <f>(G15/3.6*H15)/(I15/100)</f>
        <v>83.333333333333343</v>
      </c>
    </row>
    <row r="16" spans="1:11" x14ac:dyDescent="0.2">
      <c r="A16" s="126" t="s">
        <v>276</v>
      </c>
      <c r="B16" s="120"/>
      <c r="C16" s="121"/>
      <c r="D16" s="121"/>
      <c r="E16" s="121"/>
      <c r="F16" s="120"/>
      <c r="G16" s="122"/>
      <c r="H16" s="121"/>
      <c r="I16" s="123"/>
      <c r="J16" s="124"/>
      <c r="K16" s="124"/>
    </row>
    <row r="17" spans="1:11" x14ac:dyDescent="0.2">
      <c r="A17" s="119" t="s">
        <v>277</v>
      </c>
      <c r="B17" s="120">
        <v>5</v>
      </c>
      <c r="C17" s="121">
        <v>0.25</v>
      </c>
      <c r="D17" s="121">
        <f>+B17*C17</f>
        <v>1.25</v>
      </c>
      <c r="E17" s="121">
        <v>0.2</v>
      </c>
      <c r="F17" s="120">
        <v>500</v>
      </c>
      <c r="G17" s="122">
        <v>4</v>
      </c>
      <c r="H17" s="121">
        <f t="shared" si="4"/>
        <v>12.5</v>
      </c>
      <c r="I17" s="123">
        <v>50</v>
      </c>
      <c r="J17" s="124">
        <f>1.36*K17</f>
        <v>37.777777777777779</v>
      </c>
      <c r="K17" s="124">
        <f>(G17/3.6*H17)/(I17/100)</f>
        <v>27.777777777777779</v>
      </c>
    </row>
    <row r="18" spans="1:11" x14ac:dyDescent="0.2">
      <c r="A18" s="125"/>
      <c r="B18" s="120">
        <v>7</v>
      </c>
      <c r="C18" s="121">
        <v>0.25</v>
      </c>
      <c r="D18" s="121">
        <f>+B18*C18</f>
        <v>1.75</v>
      </c>
      <c r="E18" s="121">
        <v>0.2</v>
      </c>
      <c r="F18" s="120">
        <v>500</v>
      </c>
      <c r="G18" s="122">
        <v>4</v>
      </c>
      <c r="H18" s="121">
        <f t="shared" si="4"/>
        <v>17.5</v>
      </c>
      <c r="I18" s="123">
        <v>50</v>
      </c>
      <c r="J18" s="124">
        <f>1.36*K18</f>
        <v>52.8888888888889</v>
      </c>
      <c r="K18" s="124">
        <f>(G18/3.6*H18)/(I18/100)</f>
        <v>38.888888888888893</v>
      </c>
    </row>
    <row r="19" spans="1:11" x14ac:dyDescent="0.2">
      <c r="A19" s="125"/>
      <c r="B19" s="120">
        <v>9</v>
      </c>
      <c r="C19" s="121">
        <v>0.25</v>
      </c>
      <c r="D19" s="121">
        <f>+B19*C19</f>
        <v>2.25</v>
      </c>
      <c r="E19" s="121">
        <v>0.2</v>
      </c>
      <c r="F19" s="120">
        <v>500</v>
      </c>
      <c r="G19" s="122">
        <v>4</v>
      </c>
      <c r="H19" s="121">
        <f t="shared" si="4"/>
        <v>22.5</v>
      </c>
      <c r="I19" s="123">
        <v>50</v>
      </c>
      <c r="J19" s="124">
        <f>1.36*K19</f>
        <v>68</v>
      </c>
      <c r="K19" s="124">
        <f>(G19/3.6*H19)/(I19/100)</f>
        <v>50</v>
      </c>
    </row>
    <row r="20" spans="1:11" x14ac:dyDescent="0.2">
      <c r="A20" s="125"/>
      <c r="B20" s="120"/>
      <c r="C20" s="121"/>
      <c r="D20" s="121"/>
      <c r="E20" s="121"/>
      <c r="F20" s="120"/>
      <c r="G20" s="122"/>
      <c r="H20" s="121"/>
      <c r="I20" s="123"/>
      <c r="J20" s="124"/>
      <c r="K20" s="124"/>
    </row>
    <row r="21" spans="1:11" x14ac:dyDescent="0.2">
      <c r="A21" s="119" t="s">
        <v>218</v>
      </c>
      <c r="B21" s="120">
        <v>18</v>
      </c>
      <c r="C21" s="121">
        <v>0.1</v>
      </c>
      <c r="D21" s="121">
        <f>+B21*C21</f>
        <v>1.8</v>
      </c>
      <c r="E21" s="121">
        <v>0.1</v>
      </c>
      <c r="F21" s="120">
        <v>250</v>
      </c>
      <c r="G21" s="122">
        <v>10</v>
      </c>
      <c r="H21" s="121">
        <f t="shared" si="4"/>
        <v>4.5000000000000009</v>
      </c>
      <c r="I21" s="123">
        <v>50</v>
      </c>
      <c r="J21" s="124">
        <f>1.36*K21</f>
        <v>34.000000000000007</v>
      </c>
      <c r="K21" s="124">
        <f>(G21/3.6*H21)/(I21/100)</f>
        <v>25.000000000000004</v>
      </c>
    </row>
    <row r="22" spans="1:11" x14ac:dyDescent="0.2">
      <c r="A22" s="125"/>
      <c r="B22" s="120">
        <v>27</v>
      </c>
      <c r="C22" s="121">
        <v>0.1</v>
      </c>
      <c r="D22" s="121">
        <f>+B22*C22</f>
        <v>2.7</v>
      </c>
      <c r="E22" s="121">
        <v>0.1</v>
      </c>
      <c r="F22" s="120">
        <v>250</v>
      </c>
      <c r="G22" s="122">
        <v>10</v>
      </c>
      <c r="H22" s="121">
        <f t="shared" si="4"/>
        <v>6.7500000000000009</v>
      </c>
      <c r="I22" s="123">
        <v>50</v>
      </c>
      <c r="J22" s="124">
        <f>1.36*K22</f>
        <v>51.000000000000014</v>
      </c>
      <c r="K22" s="124">
        <f>(G22/3.6*H22)/(I22/100)</f>
        <v>37.500000000000007</v>
      </c>
    </row>
    <row r="23" spans="1:11" x14ac:dyDescent="0.2">
      <c r="A23" s="127"/>
      <c r="B23" s="120">
        <v>45</v>
      </c>
      <c r="C23" s="121">
        <v>0.1</v>
      </c>
      <c r="D23" s="121">
        <f>+B23*C23</f>
        <v>4.5</v>
      </c>
      <c r="E23" s="121">
        <v>0.1</v>
      </c>
      <c r="F23" s="120">
        <v>250</v>
      </c>
      <c r="G23" s="122">
        <v>10</v>
      </c>
      <c r="H23" s="121">
        <f>(+D23*E23)/10*F23</f>
        <v>11.25</v>
      </c>
      <c r="I23" s="123">
        <v>50</v>
      </c>
      <c r="J23" s="124">
        <f>1.36*K23</f>
        <v>85</v>
      </c>
      <c r="K23" s="124">
        <f>(G23/3.6*H23)/(I23/100)</f>
        <v>62.5</v>
      </c>
    </row>
    <row r="24" spans="1:11" x14ac:dyDescent="0.2">
      <c r="A24" s="127"/>
      <c r="B24" s="120">
        <v>63</v>
      </c>
      <c r="C24" s="121">
        <v>0.1</v>
      </c>
      <c r="D24" s="121">
        <f>+B24*C24</f>
        <v>6.3000000000000007</v>
      </c>
      <c r="E24" s="121">
        <v>0.1</v>
      </c>
      <c r="F24" s="120">
        <v>250</v>
      </c>
      <c r="G24" s="122">
        <v>10</v>
      </c>
      <c r="H24" s="121">
        <f>(+D24*E24)/10*F24</f>
        <v>15.750000000000004</v>
      </c>
      <c r="I24" s="123">
        <v>50</v>
      </c>
      <c r="J24" s="124">
        <f>1.36*K24</f>
        <v>119.00000000000003</v>
      </c>
      <c r="K24" s="124">
        <f>(G24/3.6*H24)/(I24/100)</f>
        <v>87.500000000000014</v>
      </c>
    </row>
    <row r="25" spans="1:11" x14ac:dyDescent="0.2">
      <c r="A25" s="127"/>
      <c r="B25" s="120"/>
      <c r="C25" s="121"/>
      <c r="D25" s="121"/>
      <c r="E25" s="121"/>
      <c r="F25" s="120"/>
      <c r="G25" s="122"/>
      <c r="H25" s="121"/>
      <c r="I25" s="123"/>
      <c r="J25" s="124"/>
      <c r="K25" s="124"/>
    </row>
    <row r="26" spans="1:11" x14ac:dyDescent="0.2">
      <c r="A26" s="126" t="s">
        <v>217</v>
      </c>
      <c r="B26" s="120"/>
      <c r="C26" s="121"/>
      <c r="D26" s="121">
        <v>1.5</v>
      </c>
      <c r="E26" s="121"/>
      <c r="F26" s="120"/>
      <c r="G26" s="122">
        <v>6</v>
      </c>
      <c r="H26" s="121"/>
      <c r="I26" s="123"/>
      <c r="J26" s="124">
        <v>30</v>
      </c>
      <c r="K26" s="124">
        <f>+J26*0.736</f>
        <v>22.08</v>
      </c>
    </row>
    <row r="27" spans="1:11" x14ac:dyDescent="0.2">
      <c r="A27" s="119" t="s">
        <v>246</v>
      </c>
      <c r="B27" s="120"/>
      <c r="C27" s="121"/>
      <c r="D27" s="121">
        <v>2</v>
      </c>
      <c r="E27" s="121"/>
      <c r="F27" s="120"/>
      <c r="G27" s="122">
        <v>6</v>
      </c>
      <c r="H27" s="121"/>
      <c r="I27" s="123"/>
      <c r="J27" s="124">
        <v>35</v>
      </c>
      <c r="K27" s="124">
        <f>+J27*0.736</f>
        <v>25.759999999999998</v>
      </c>
    </row>
    <row r="28" spans="1:11" x14ac:dyDescent="0.2">
      <c r="A28" s="125"/>
      <c r="B28" s="120"/>
      <c r="C28" s="121"/>
      <c r="D28" s="121">
        <v>2.5</v>
      </c>
      <c r="E28" s="121"/>
      <c r="F28" s="120"/>
      <c r="G28" s="122">
        <v>6</v>
      </c>
      <c r="H28" s="121"/>
      <c r="I28" s="123"/>
      <c r="J28" s="124">
        <v>40</v>
      </c>
      <c r="K28" s="124">
        <f>+J28*0.736</f>
        <v>29.439999999999998</v>
      </c>
    </row>
    <row r="29" spans="1:11" x14ac:dyDescent="0.2">
      <c r="A29" s="125"/>
      <c r="B29" s="120"/>
      <c r="C29" s="121"/>
      <c r="D29" s="121">
        <v>3</v>
      </c>
      <c r="E29" s="121"/>
      <c r="F29" s="120"/>
      <c r="G29" s="122">
        <v>6</v>
      </c>
      <c r="H29" s="121"/>
      <c r="I29" s="123"/>
      <c r="J29" s="124">
        <v>45</v>
      </c>
      <c r="K29" s="124">
        <f>+J29*0.736</f>
        <v>33.119999999999997</v>
      </c>
    </row>
    <row r="30" spans="1:11" x14ac:dyDescent="0.2">
      <c r="A30" s="126" t="s">
        <v>278</v>
      </c>
      <c r="B30" s="120"/>
      <c r="C30" s="121"/>
      <c r="D30" s="121"/>
      <c r="E30" s="121"/>
      <c r="F30" s="120"/>
      <c r="G30" s="122"/>
      <c r="H30" s="121"/>
      <c r="I30" s="123"/>
      <c r="J30" s="124"/>
      <c r="K30" s="124"/>
    </row>
    <row r="31" spans="1:11" x14ac:dyDescent="0.2">
      <c r="A31" s="119" t="s">
        <v>245</v>
      </c>
      <c r="B31" s="120"/>
      <c r="C31" s="121"/>
      <c r="D31" s="121">
        <v>1.5</v>
      </c>
      <c r="E31" s="128">
        <v>0.1</v>
      </c>
      <c r="F31" s="120">
        <v>250</v>
      </c>
      <c r="G31" s="122">
        <v>5</v>
      </c>
      <c r="H31" s="121">
        <f t="shared" ref="H31:H42" si="5">(+D31*E31)/10*F31</f>
        <v>3.7500000000000009</v>
      </c>
      <c r="I31" s="123">
        <v>50</v>
      </c>
      <c r="J31" s="124">
        <f>1.36*K31</f>
        <v>14.166666666666671</v>
      </c>
      <c r="K31" s="124">
        <f>(G31/3.6*H31)/(I31/100)</f>
        <v>10.41666666666667</v>
      </c>
    </row>
    <row r="32" spans="1:11" x14ac:dyDescent="0.2">
      <c r="A32" s="125"/>
      <c r="B32" s="120"/>
      <c r="C32" s="121"/>
      <c r="D32" s="121">
        <v>2.5</v>
      </c>
      <c r="E32" s="128">
        <v>0.1</v>
      </c>
      <c r="F32" s="120">
        <v>250</v>
      </c>
      <c r="G32" s="122">
        <v>5</v>
      </c>
      <c r="H32" s="121">
        <f t="shared" si="5"/>
        <v>6.25</v>
      </c>
      <c r="I32" s="123">
        <v>50</v>
      </c>
      <c r="J32" s="124">
        <f>1.36*K32</f>
        <v>23.611111111111111</v>
      </c>
      <c r="K32" s="124">
        <f>(G32/3.6*H32)/(I32/100)</f>
        <v>17.361111111111111</v>
      </c>
    </row>
    <row r="33" spans="1:11" x14ac:dyDescent="0.2">
      <c r="A33" s="125"/>
      <c r="B33" s="120"/>
      <c r="C33" s="121"/>
      <c r="D33" s="121">
        <v>3.5</v>
      </c>
      <c r="E33" s="128">
        <v>0.1</v>
      </c>
      <c r="F33" s="120">
        <v>250</v>
      </c>
      <c r="G33" s="122">
        <v>5</v>
      </c>
      <c r="H33" s="121">
        <f t="shared" si="5"/>
        <v>8.75</v>
      </c>
      <c r="I33" s="123">
        <v>50</v>
      </c>
      <c r="J33" s="124">
        <f>1.36*K33</f>
        <v>33.055555555555557</v>
      </c>
      <c r="K33" s="124">
        <f>(G33/3.6*H33)/(I33/100)</f>
        <v>24.305555555555554</v>
      </c>
    </row>
    <row r="34" spans="1:11" x14ac:dyDescent="0.2">
      <c r="A34" s="125"/>
      <c r="B34" s="120"/>
      <c r="C34" s="121"/>
      <c r="D34" s="121">
        <v>4.5</v>
      </c>
      <c r="E34" s="128">
        <v>0.1</v>
      </c>
      <c r="F34" s="120">
        <v>250</v>
      </c>
      <c r="G34" s="122">
        <v>5</v>
      </c>
      <c r="H34" s="121">
        <f t="shared" si="5"/>
        <v>11.25</v>
      </c>
      <c r="I34" s="123">
        <v>50</v>
      </c>
      <c r="J34" s="124">
        <f>1.36*K34</f>
        <v>42.5</v>
      </c>
      <c r="K34" s="124">
        <f>(G34/3.6*H34)/(I34/100)</f>
        <v>31.25</v>
      </c>
    </row>
    <row r="35" spans="1:11" x14ac:dyDescent="0.2">
      <c r="A35" s="125"/>
      <c r="B35" s="120"/>
      <c r="C35" s="121"/>
      <c r="D35" s="121">
        <v>6</v>
      </c>
      <c r="E35" s="128">
        <v>0.1</v>
      </c>
      <c r="F35" s="120">
        <v>250</v>
      </c>
      <c r="G35" s="122">
        <v>5</v>
      </c>
      <c r="H35" s="121">
        <f t="shared" si="5"/>
        <v>15.000000000000004</v>
      </c>
      <c r="I35" s="123">
        <v>50</v>
      </c>
      <c r="J35" s="124">
        <f>1.36*K35</f>
        <v>56.666666666666686</v>
      </c>
      <c r="K35" s="124">
        <f>(G35/3.6*H35)/(I35/100)</f>
        <v>41.666666666666679</v>
      </c>
    </row>
    <row r="36" spans="1:11" x14ac:dyDescent="0.2">
      <c r="A36" s="129"/>
      <c r="B36" s="120"/>
      <c r="C36" s="121"/>
      <c r="D36" s="121"/>
      <c r="E36" s="128"/>
      <c r="F36" s="120"/>
      <c r="G36" s="122"/>
      <c r="H36" s="121"/>
      <c r="I36" s="123"/>
      <c r="J36" s="124"/>
      <c r="K36" s="124"/>
    </row>
    <row r="37" spans="1:11" x14ac:dyDescent="0.2">
      <c r="A37" s="119" t="s">
        <v>279</v>
      </c>
      <c r="B37" s="120" t="s">
        <v>280</v>
      </c>
      <c r="C37" s="121"/>
      <c r="D37" s="121">
        <v>1.8</v>
      </c>
      <c r="E37" s="128">
        <v>0.15</v>
      </c>
      <c r="F37" s="120">
        <v>500</v>
      </c>
      <c r="G37" s="122">
        <v>5</v>
      </c>
      <c r="H37" s="121">
        <f t="shared" si="5"/>
        <v>13.500000000000002</v>
      </c>
      <c r="I37" s="123">
        <v>50</v>
      </c>
      <c r="J37" s="124">
        <f>1.36*K37</f>
        <v>51.000000000000014</v>
      </c>
      <c r="K37" s="124">
        <f>(G37/3.6*H37)/(I37/100)</f>
        <v>37.500000000000007</v>
      </c>
    </row>
    <row r="38" spans="1:11" x14ac:dyDescent="0.2">
      <c r="A38" s="125"/>
      <c r="B38" s="120" t="s">
        <v>281</v>
      </c>
      <c r="C38" s="121"/>
      <c r="D38" s="121">
        <v>2</v>
      </c>
      <c r="E38" s="128">
        <v>0.15</v>
      </c>
      <c r="F38" s="120">
        <v>500</v>
      </c>
      <c r="G38" s="122">
        <v>5</v>
      </c>
      <c r="H38" s="121">
        <f t="shared" si="5"/>
        <v>15</v>
      </c>
      <c r="I38" s="123">
        <v>50</v>
      </c>
      <c r="J38" s="124">
        <f>1.36*K38</f>
        <v>56.666666666666664</v>
      </c>
      <c r="K38" s="124">
        <f>(G38/3.6*H38)/(I38/100)</f>
        <v>41.666666666666664</v>
      </c>
    </row>
    <row r="39" spans="1:11" x14ac:dyDescent="0.2">
      <c r="A39" s="125"/>
      <c r="B39" s="120"/>
      <c r="C39" s="121"/>
      <c r="D39" s="121"/>
      <c r="E39" s="128"/>
      <c r="F39" s="120"/>
      <c r="G39" s="122"/>
      <c r="H39" s="121"/>
      <c r="I39" s="123"/>
      <c r="J39" s="124"/>
      <c r="K39" s="124"/>
    </row>
    <row r="40" spans="1:11" x14ac:dyDescent="0.2">
      <c r="A40" s="130" t="s">
        <v>282</v>
      </c>
      <c r="B40" s="119" t="s">
        <v>283</v>
      </c>
      <c r="C40" s="121"/>
      <c r="D40" s="121">
        <v>1.8</v>
      </c>
      <c r="E40" s="128">
        <v>0.15</v>
      </c>
      <c r="F40" s="120">
        <v>500</v>
      </c>
      <c r="G40" s="122">
        <v>5</v>
      </c>
      <c r="H40" s="121">
        <f t="shared" si="5"/>
        <v>13.500000000000002</v>
      </c>
      <c r="I40" s="123">
        <v>50</v>
      </c>
      <c r="J40" s="124">
        <f>1.36*K40</f>
        <v>51.000000000000014</v>
      </c>
      <c r="K40" s="124">
        <f>(G40/3.6*H40)/(I40/100)</f>
        <v>37.500000000000007</v>
      </c>
    </row>
    <row r="41" spans="1:11" x14ac:dyDescent="0.2">
      <c r="A41" s="125"/>
      <c r="B41" s="119" t="s">
        <v>284</v>
      </c>
      <c r="C41" s="121"/>
      <c r="D41" s="121">
        <v>2</v>
      </c>
      <c r="E41" s="128">
        <v>0.15</v>
      </c>
      <c r="F41" s="120">
        <v>500</v>
      </c>
      <c r="G41" s="122">
        <v>5</v>
      </c>
      <c r="H41" s="121">
        <f t="shared" si="5"/>
        <v>15</v>
      </c>
      <c r="I41" s="123">
        <v>50</v>
      </c>
      <c r="J41" s="124">
        <f>1.36*K41</f>
        <v>56.666666666666664</v>
      </c>
      <c r="K41" s="124">
        <f>(G41/3.6*H41)/(I41/100)</f>
        <v>41.666666666666664</v>
      </c>
    </row>
    <row r="42" spans="1:11" x14ac:dyDescent="0.2">
      <c r="A42" s="125"/>
      <c r="B42" s="119" t="s">
        <v>285</v>
      </c>
      <c r="C42" s="121"/>
      <c r="D42" s="121">
        <v>2.2000000000000002</v>
      </c>
      <c r="E42" s="128">
        <v>0.15</v>
      </c>
      <c r="F42" s="120">
        <v>500</v>
      </c>
      <c r="G42" s="122">
        <v>5</v>
      </c>
      <c r="H42" s="121">
        <f t="shared" si="5"/>
        <v>16.5</v>
      </c>
      <c r="I42" s="123">
        <v>50</v>
      </c>
      <c r="J42" s="124">
        <f>1.36*K42</f>
        <v>62.333333333333329</v>
      </c>
      <c r="K42" s="124">
        <f>(G42/3.6*H42)/(I42/100)</f>
        <v>45.833333333333329</v>
      </c>
    </row>
    <row r="43" spans="1:11" x14ac:dyDescent="0.2">
      <c r="A43" s="125"/>
      <c r="B43" s="119"/>
      <c r="C43" s="121"/>
      <c r="D43" s="121"/>
      <c r="E43" s="128"/>
      <c r="F43" s="120"/>
      <c r="G43" s="122"/>
      <c r="H43" s="121"/>
      <c r="I43" s="123"/>
      <c r="J43" s="124"/>
      <c r="K43" s="124"/>
    </row>
    <row r="44" spans="1:11" x14ac:dyDescent="0.2">
      <c r="A44" s="119" t="s">
        <v>286</v>
      </c>
      <c r="B44" s="120" t="s">
        <v>285</v>
      </c>
      <c r="C44" s="121"/>
      <c r="D44" s="121">
        <v>2.2000000000000002</v>
      </c>
      <c r="E44" s="128">
        <v>0.15</v>
      </c>
      <c r="F44" s="120">
        <v>500</v>
      </c>
      <c r="G44" s="122">
        <v>5</v>
      </c>
      <c r="H44" s="121">
        <f>(+D44*E44)/10*F44</f>
        <v>16.5</v>
      </c>
      <c r="I44" s="123">
        <v>50</v>
      </c>
      <c r="J44" s="124">
        <f>1.36*K44</f>
        <v>62.333333333333329</v>
      </c>
      <c r="K44" s="124">
        <f>(G44/3.6*H44)/(I44/100)</f>
        <v>45.833333333333329</v>
      </c>
    </row>
    <row r="45" spans="1:11" x14ac:dyDescent="0.2">
      <c r="A45" s="125"/>
      <c r="B45" s="120" t="s">
        <v>287</v>
      </c>
      <c r="C45" s="121"/>
      <c r="D45" s="121">
        <v>2.4</v>
      </c>
      <c r="E45" s="128">
        <v>0.15</v>
      </c>
      <c r="F45" s="120">
        <v>500</v>
      </c>
      <c r="G45" s="122">
        <v>5</v>
      </c>
      <c r="H45" s="121">
        <f>(+D45*E45)/10*F45</f>
        <v>18</v>
      </c>
      <c r="I45" s="123">
        <v>50</v>
      </c>
      <c r="J45" s="124">
        <f>1.36*K45</f>
        <v>68</v>
      </c>
      <c r="K45" s="124">
        <f>(G45/3.6*H45)/(I45/100)</f>
        <v>50</v>
      </c>
    </row>
    <row r="46" spans="1:11" x14ac:dyDescent="0.2">
      <c r="A46" s="125"/>
      <c r="B46" s="120" t="s">
        <v>288</v>
      </c>
      <c r="C46" s="121"/>
      <c r="D46" s="121">
        <v>2.6</v>
      </c>
      <c r="E46" s="128">
        <v>0.15</v>
      </c>
      <c r="F46" s="120">
        <v>500</v>
      </c>
      <c r="G46" s="122">
        <v>5</v>
      </c>
      <c r="H46" s="121">
        <f>(+D46*E46)/10*F46</f>
        <v>19.5</v>
      </c>
      <c r="I46" s="123">
        <v>50</v>
      </c>
      <c r="J46" s="124">
        <f>1.36*K46</f>
        <v>73.666666666666671</v>
      </c>
      <c r="K46" s="124">
        <f>(G46/3.6*H46)/(I46/100)</f>
        <v>54.166666666666664</v>
      </c>
    </row>
    <row r="47" spans="1:11" x14ac:dyDescent="0.2">
      <c r="A47" s="125"/>
      <c r="B47" s="120" t="s">
        <v>289</v>
      </c>
      <c r="C47" s="121"/>
      <c r="D47" s="121">
        <v>2.8</v>
      </c>
      <c r="E47" s="128">
        <v>0.15</v>
      </c>
      <c r="F47" s="120">
        <v>500</v>
      </c>
      <c r="G47" s="122">
        <v>5</v>
      </c>
      <c r="H47" s="121">
        <f>(+D47*E47)/10*F47</f>
        <v>20.999999999999996</v>
      </c>
      <c r="I47" s="123">
        <v>50</v>
      </c>
      <c r="J47" s="124">
        <f>1.36*K47</f>
        <v>79.333333333333329</v>
      </c>
      <c r="K47" s="124">
        <f>(G47/3.6*H47)/(I47/100)</f>
        <v>58.333333333333321</v>
      </c>
    </row>
    <row r="48" spans="1:11" x14ac:dyDescent="0.2">
      <c r="A48" s="125"/>
      <c r="B48" s="120"/>
      <c r="C48" s="121"/>
      <c r="D48" s="121"/>
      <c r="E48" s="128"/>
      <c r="F48" s="120"/>
      <c r="G48" s="122"/>
      <c r="H48" s="121"/>
      <c r="I48" s="123"/>
      <c r="J48" s="124"/>
      <c r="K48" s="124"/>
    </row>
    <row r="49" spans="1:11" x14ac:dyDescent="0.2">
      <c r="A49" s="119" t="s">
        <v>290</v>
      </c>
      <c r="B49" s="120" t="s">
        <v>291</v>
      </c>
      <c r="C49" s="121"/>
      <c r="D49" s="121">
        <v>2.6</v>
      </c>
      <c r="E49" s="128">
        <v>0.15</v>
      </c>
      <c r="F49" s="120">
        <v>500</v>
      </c>
      <c r="G49" s="122">
        <v>5</v>
      </c>
      <c r="H49" s="121">
        <f>(+D49*E49)/10*F49</f>
        <v>19.5</v>
      </c>
      <c r="I49" s="123">
        <v>50</v>
      </c>
      <c r="J49" s="124">
        <f>1.36*K49</f>
        <v>73.666666666666671</v>
      </c>
      <c r="K49" s="124">
        <f>(G49/3.6*H49)/(I49/100)</f>
        <v>54.166666666666664</v>
      </c>
    </row>
    <row r="50" spans="1:11" x14ac:dyDescent="0.2">
      <c r="A50" s="127"/>
      <c r="B50" s="120" t="s">
        <v>292</v>
      </c>
      <c r="C50" s="121"/>
      <c r="D50" s="121">
        <v>2.8</v>
      </c>
      <c r="E50" s="128">
        <v>0.15</v>
      </c>
      <c r="F50" s="120">
        <v>500</v>
      </c>
      <c r="G50" s="122">
        <v>5</v>
      </c>
      <c r="H50" s="121">
        <f>(+D50*E50)/10*F50</f>
        <v>20.999999999999996</v>
      </c>
      <c r="I50" s="123">
        <v>50</v>
      </c>
      <c r="J50" s="124">
        <f>1.36*K50</f>
        <v>79.333333333333329</v>
      </c>
      <c r="K50" s="124">
        <f>(G50/3.6*H50)/(I50/100)</f>
        <v>58.333333333333321</v>
      </c>
    </row>
    <row r="51" spans="1:11" x14ac:dyDescent="0.2">
      <c r="A51" s="127"/>
      <c r="B51" s="120" t="s">
        <v>293</v>
      </c>
      <c r="C51" s="121"/>
      <c r="D51" s="121">
        <v>3</v>
      </c>
      <c r="E51" s="128">
        <v>0.15</v>
      </c>
      <c r="F51" s="120">
        <v>500</v>
      </c>
      <c r="G51" s="122">
        <v>5</v>
      </c>
      <c r="H51" s="121">
        <f>(+D51*E51)/10*F51</f>
        <v>22.5</v>
      </c>
      <c r="I51" s="123">
        <v>50</v>
      </c>
      <c r="J51" s="124">
        <f>1.36*K51</f>
        <v>85</v>
      </c>
      <c r="K51" s="124">
        <f>(G51/3.6*H51)/(I51/100)</f>
        <v>62.5</v>
      </c>
    </row>
    <row r="52" spans="1:11" x14ac:dyDescent="0.2">
      <c r="A52" s="127"/>
      <c r="B52" s="120"/>
      <c r="C52" s="121"/>
      <c r="D52" s="121"/>
      <c r="E52" s="121"/>
      <c r="F52" s="120"/>
      <c r="G52" s="122"/>
      <c r="H52" s="121"/>
      <c r="I52" s="123"/>
      <c r="J52" s="124"/>
      <c r="K52" s="124"/>
    </row>
    <row r="53" spans="1:11" x14ac:dyDescent="0.2">
      <c r="A53" s="126" t="s">
        <v>294</v>
      </c>
      <c r="B53" s="120"/>
      <c r="C53" s="121"/>
      <c r="D53" s="121"/>
      <c r="E53" s="121"/>
      <c r="F53" s="120"/>
      <c r="G53" s="122"/>
      <c r="H53" s="121"/>
      <c r="I53" s="123"/>
      <c r="J53" s="124"/>
      <c r="K53" s="124"/>
    </row>
    <row r="54" spans="1:11" x14ac:dyDescent="0.2">
      <c r="A54" s="119" t="s">
        <v>221</v>
      </c>
      <c r="B54" s="120"/>
      <c r="C54" s="121"/>
      <c r="D54" s="121">
        <v>1.1000000000000001</v>
      </c>
      <c r="E54" s="121">
        <v>0.15</v>
      </c>
      <c r="F54" s="120"/>
      <c r="G54" s="122">
        <v>2</v>
      </c>
      <c r="H54" s="121">
        <f t="shared" ref="H54:H59" si="6">25*D54</f>
        <v>27.500000000000004</v>
      </c>
      <c r="I54" s="123">
        <v>80</v>
      </c>
      <c r="J54" s="124">
        <f t="shared" ref="J54:J59" si="7">1.36*K54</f>
        <v>25.972222222222229</v>
      </c>
      <c r="K54" s="124">
        <f t="shared" ref="K54:K59" si="8">(G54/3.6*H54)/(I54/100)</f>
        <v>19.097222222222225</v>
      </c>
    </row>
    <row r="55" spans="1:11" x14ac:dyDescent="0.2">
      <c r="A55" s="125"/>
      <c r="B55" s="120"/>
      <c r="C55" s="121"/>
      <c r="D55" s="121">
        <v>1.3</v>
      </c>
      <c r="E55" s="121">
        <v>0.15</v>
      </c>
      <c r="F55" s="120"/>
      <c r="G55" s="122">
        <v>2</v>
      </c>
      <c r="H55" s="121">
        <f t="shared" si="6"/>
        <v>32.5</v>
      </c>
      <c r="I55" s="123">
        <v>80</v>
      </c>
      <c r="J55" s="124">
        <f t="shared" si="7"/>
        <v>30.69444444444445</v>
      </c>
      <c r="K55" s="124">
        <f t="shared" si="8"/>
        <v>22.569444444444446</v>
      </c>
    </row>
    <row r="56" spans="1:11" x14ac:dyDescent="0.2">
      <c r="A56" s="125"/>
      <c r="B56" s="120"/>
      <c r="C56" s="121"/>
      <c r="D56" s="121">
        <v>1.5</v>
      </c>
      <c r="E56" s="121">
        <v>0.15</v>
      </c>
      <c r="F56" s="120"/>
      <c r="G56" s="122">
        <v>2</v>
      </c>
      <c r="H56" s="121">
        <f t="shared" si="6"/>
        <v>37.5</v>
      </c>
      <c r="I56" s="123">
        <v>80</v>
      </c>
      <c r="J56" s="124">
        <f t="shared" si="7"/>
        <v>35.416666666666671</v>
      </c>
      <c r="K56" s="124">
        <f t="shared" si="8"/>
        <v>26.041666666666668</v>
      </c>
    </row>
    <row r="57" spans="1:11" x14ac:dyDescent="0.2">
      <c r="A57" s="125"/>
      <c r="B57" s="120"/>
      <c r="C57" s="121"/>
      <c r="D57" s="121">
        <v>1.7</v>
      </c>
      <c r="E57" s="121">
        <v>0.15</v>
      </c>
      <c r="F57" s="120"/>
      <c r="G57" s="122">
        <v>2</v>
      </c>
      <c r="H57" s="121">
        <f t="shared" si="6"/>
        <v>42.5</v>
      </c>
      <c r="I57" s="123">
        <v>80</v>
      </c>
      <c r="J57" s="124">
        <f t="shared" si="7"/>
        <v>40.138888888888886</v>
      </c>
      <c r="K57" s="124">
        <f t="shared" si="8"/>
        <v>29.513888888888886</v>
      </c>
    </row>
    <row r="58" spans="1:11" x14ac:dyDescent="0.2">
      <c r="A58" s="125"/>
      <c r="B58" s="120"/>
      <c r="C58" s="121"/>
      <c r="D58" s="121">
        <v>1.9</v>
      </c>
      <c r="E58" s="121">
        <v>0.15</v>
      </c>
      <c r="F58" s="120"/>
      <c r="G58" s="122">
        <v>2</v>
      </c>
      <c r="H58" s="121">
        <f t="shared" si="6"/>
        <v>47.5</v>
      </c>
      <c r="I58" s="123">
        <v>80</v>
      </c>
      <c r="J58" s="124">
        <f t="shared" si="7"/>
        <v>44.861111111111107</v>
      </c>
      <c r="K58" s="124">
        <f t="shared" si="8"/>
        <v>32.986111111111107</v>
      </c>
    </row>
    <row r="59" spans="1:11" x14ac:dyDescent="0.2">
      <c r="A59" s="125"/>
      <c r="B59" s="120"/>
      <c r="C59" s="121"/>
      <c r="D59" s="121">
        <v>2.2000000000000002</v>
      </c>
      <c r="E59" s="121">
        <v>0.15</v>
      </c>
      <c r="F59" s="120"/>
      <c r="G59" s="122">
        <v>2</v>
      </c>
      <c r="H59" s="121">
        <f t="shared" si="6"/>
        <v>55.000000000000007</v>
      </c>
      <c r="I59" s="123">
        <v>80</v>
      </c>
      <c r="J59" s="124">
        <f t="shared" si="7"/>
        <v>51.944444444444457</v>
      </c>
      <c r="K59" s="124">
        <f t="shared" si="8"/>
        <v>38.19444444444445</v>
      </c>
    </row>
    <row r="60" spans="1:11" x14ac:dyDescent="0.2">
      <c r="A60" s="125"/>
      <c r="B60" s="120"/>
      <c r="C60" s="121"/>
      <c r="D60" s="121"/>
      <c r="E60" s="121"/>
      <c r="F60" s="120"/>
      <c r="G60" s="122"/>
      <c r="H60" s="121"/>
      <c r="I60" s="123"/>
      <c r="J60" s="124"/>
      <c r="K60" s="124"/>
    </row>
    <row r="61" spans="1:11" x14ac:dyDescent="0.2">
      <c r="A61" s="126" t="s">
        <v>219</v>
      </c>
      <c r="B61" s="131"/>
      <c r="C61" s="132"/>
      <c r="D61" s="132"/>
      <c r="E61" s="132"/>
      <c r="F61" s="131"/>
      <c r="G61" s="133"/>
      <c r="H61" s="132"/>
      <c r="I61" s="124"/>
      <c r="J61" s="124"/>
      <c r="K61" s="124"/>
    </row>
    <row r="62" spans="1:11" x14ac:dyDescent="0.2">
      <c r="A62" s="119" t="s">
        <v>295</v>
      </c>
      <c r="B62" s="120">
        <v>2</v>
      </c>
      <c r="C62" s="121">
        <v>0.8</v>
      </c>
      <c r="D62" s="121">
        <f>+B62*C62</f>
        <v>1.6</v>
      </c>
      <c r="E62" s="121">
        <v>0.15</v>
      </c>
      <c r="F62" s="120">
        <v>500</v>
      </c>
      <c r="G62" s="122">
        <v>3</v>
      </c>
      <c r="H62" s="121">
        <f>(+D62*E62)/10*F62</f>
        <v>12</v>
      </c>
      <c r="I62" s="123">
        <v>50</v>
      </c>
      <c r="J62" s="124">
        <f>1.36*K62</f>
        <v>27.200000000000003</v>
      </c>
      <c r="K62" s="124">
        <f>(G62/3.6*H62)/(I62/100)</f>
        <v>20</v>
      </c>
    </row>
    <row r="63" spans="1:11" x14ac:dyDescent="0.2">
      <c r="A63" s="119" t="s">
        <v>296</v>
      </c>
      <c r="B63" s="120">
        <v>3</v>
      </c>
      <c r="C63" s="121">
        <v>0.8</v>
      </c>
      <c r="D63" s="121">
        <f>+B63*C63</f>
        <v>2.4000000000000004</v>
      </c>
      <c r="E63" s="121">
        <v>0.15</v>
      </c>
      <c r="F63" s="120">
        <v>500</v>
      </c>
      <c r="G63" s="122">
        <v>3</v>
      </c>
      <c r="H63" s="121">
        <f>(+D63*E63)/10*F63</f>
        <v>18.000000000000004</v>
      </c>
      <c r="I63" s="123">
        <v>50</v>
      </c>
      <c r="J63" s="124">
        <f>1.36*K63</f>
        <v>40.800000000000004</v>
      </c>
      <c r="K63" s="124">
        <f>(G63/3.6*H63)/(I63/100)</f>
        <v>30.000000000000004</v>
      </c>
    </row>
    <row r="64" spans="1:11" x14ac:dyDescent="0.2">
      <c r="A64" s="119" t="s">
        <v>297</v>
      </c>
      <c r="B64" s="120">
        <v>4</v>
      </c>
      <c r="C64" s="121">
        <v>0.8</v>
      </c>
      <c r="D64" s="121">
        <f>+B64*C64</f>
        <v>3.2</v>
      </c>
      <c r="E64" s="121">
        <v>0.15</v>
      </c>
      <c r="F64" s="120">
        <v>500</v>
      </c>
      <c r="G64" s="122">
        <v>3</v>
      </c>
      <c r="H64" s="121">
        <f>(+D64*E64)/10*F64</f>
        <v>24</v>
      </c>
      <c r="I64" s="123">
        <v>50</v>
      </c>
      <c r="J64" s="124">
        <f>1.36*K64</f>
        <v>54.400000000000006</v>
      </c>
      <c r="K64" s="124">
        <f>(G64/3.6*H64)/(I64/100)</f>
        <v>40</v>
      </c>
    </row>
    <row r="65" spans="1:11" x14ac:dyDescent="0.2">
      <c r="A65" s="119" t="s">
        <v>298</v>
      </c>
      <c r="B65" s="120">
        <v>5</v>
      </c>
      <c r="C65" s="121">
        <v>0.8</v>
      </c>
      <c r="D65" s="121">
        <f>+B65*C65</f>
        <v>4</v>
      </c>
      <c r="E65" s="121">
        <v>0.15</v>
      </c>
      <c r="F65" s="120">
        <v>500</v>
      </c>
      <c r="G65" s="122">
        <v>3</v>
      </c>
      <c r="H65" s="121">
        <f>(+D65*E65)/10*F65</f>
        <v>30</v>
      </c>
      <c r="I65" s="123">
        <v>50</v>
      </c>
      <c r="J65" s="124">
        <f>1.36*K65</f>
        <v>68</v>
      </c>
      <c r="K65" s="124">
        <f>(G65/3.6*H65)/(I65/100)</f>
        <v>49.999999999999993</v>
      </c>
    </row>
    <row r="66" spans="1:11" x14ac:dyDescent="0.2">
      <c r="A66" s="119" t="s">
        <v>299</v>
      </c>
      <c r="B66" s="120">
        <v>6</v>
      </c>
      <c r="C66" s="121">
        <v>0.8</v>
      </c>
      <c r="D66" s="121">
        <f>+B66*C66</f>
        <v>4.8000000000000007</v>
      </c>
      <c r="E66" s="121">
        <v>0.15</v>
      </c>
      <c r="F66" s="120">
        <v>500</v>
      </c>
      <c r="G66" s="122">
        <v>3</v>
      </c>
      <c r="H66" s="121">
        <f>(+D66*E66)/10*F66</f>
        <v>36.000000000000007</v>
      </c>
      <c r="I66" s="123">
        <v>50</v>
      </c>
      <c r="J66" s="124">
        <f>1.36*K66</f>
        <v>81.600000000000009</v>
      </c>
      <c r="K66" s="124">
        <f>(G66/3.6*H66)/(I66/100)</f>
        <v>60.000000000000007</v>
      </c>
    </row>
    <row r="67" spans="1:11" x14ac:dyDescent="0.2">
      <c r="A67" s="125"/>
      <c r="B67" s="120"/>
      <c r="C67" s="121"/>
      <c r="D67" s="121"/>
      <c r="E67" s="121"/>
      <c r="F67" s="120"/>
      <c r="G67" s="122"/>
      <c r="H67" s="121"/>
      <c r="I67" s="123"/>
      <c r="J67" s="124"/>
      <c r="K67" s="124"/>
    </row>
    <row r="68" spans="1:11" ht="20.399999999999999" x14ac:dyDescent="0.2">
      <c r="A68" s="126" t="s">
        <v>300</v>
      </c>
      <c r="B68" s="120"/>
      <c r="C68" s="121"/>
      <c r="D68" s="121"/>
      <c r="E68" s="121"/>
      <c r="F68" s="120"/>
      <c r="G68" s="122"/>
      <c r="H68" s="121"/>
      <c r="I68" s="123"/>
      <c r="J68" s="124"/>
      <c r="K68" s="124"/>
    </row>
    <row r="69" spans="1:11" x14ac:dyDescent="0.2">
      <c r="A69" s="119" t="s">
        <v>301</v>
      </c>
      <c r="B69" s="120"/>
      <c r="C69" s="121"/>
      <c r="D69" s="121">
        <v>2.5</v>
      </c>
      <c r="E69" s="121"/>
      <c r="F69" s="120"/>
      <c r="G69" s="122">
        <v>4</v>
      </c>
      <c r="H69" s="121"/>
      <c r="I69" s="123"/>
      <c r="J69" s="124">
        <v>22</v>
      </c>
      <c r="K69" s="124">
        <f>+J69*0.736</f>
        <v>16.192</v>
      </c>
    </row>
    <row r="70" spans="1:11" x14ac:dyDescent="0.2">
      <c r="A70" s="125"/>
      <c r="B70" s="120"/>
      <c r="C70" s="121"/>
      <c r="D70" s="121">
        <v>3</v>
      </c>
      <c r="E70" s="121"/>
      <c r="F70" s="120"/>
      <c r="G70" s="122">
        <v>4</v>
      </c>
      <c r="H70" s="121"/>
      <c r="I70" s="123"/>
      <c r="J70" s="124">
        <v>28</v>
      </c>
      <c r="K70" s="124">
        <f>+J70*0.736</f>
        <v>20.608000000000001</v>
      </c>
    </row>
    <row r="71" spans="1:11" x14ac:dyDescent="0.2">
      <c r="A71" s="125"/>
      <c r="B71" s="120"/>
      <c r="C71" s="121"/>
      <c r="D71" s="121">
        <v>3.5</v>
      </c>
      <c r="E71" s="121"/>
      <c r="F71" s="120"/>
      <c r="G71" s="122">
        <v>4</v>
      </c>
      <c r="H71" s="121"/>
      <c r="I71" s="123"/>
      <c r="J71" s="124">
        <v>35</v>
      </c>
      <c r="K71" s="124">
        <f>+J71*0.736</f>
        <v>25.759999999999998</v>
      </c>
    </row>
    <row r="72" spans="1:11" x14ac:dyDescent="0.2">
      <c r="A72" s="125"/>
      <c r="B72" s="120"/>
      <c r="C72" s="121"/>
      <c r="D72" s="134"/>
      <c r="E72" s="134"/>
      <c r="F72" s="127"/>
      <c r="G72" s="135"/>
      <c r="H72" s="134"/>
      <c r="I72" s="136"/>
      <c r="J72" s="137"/>
      <c r="K72" s="137"/>
    </row>
    <row r="73" spans="1:11" x14ac:dyDescent="0.2">
      <c r="A73" s="119" t="s">
        <v>302</v>
      </c>
      <c r="B73" s="120"/>
      <c r="C73" s="121"/>
      <c r="D73" s="25"/>
      <c r="E73" s="25"/>
      <c r="F73" s="25"/>
      <c r="G73" s="122">
        <v>6</v>
      </c>
      <c r="H73" s="25"/>
      <c r="I73" s="25"/>
      <c r="J73" s="138">
        <v>30</v>
      </c>
      <c r="K73" s="124">
        <f t="shared" ref="K73:K81" si="9">+J73*0.736</f>
        <v>22.08</v>
      </c>
    </row>
    <row r="74" spans="1:11" x14ac:dyDescent="0.2">
      <c r="A74" s="119" t="s">
        <v>303</v>
      </c>
      <c r="B74" s="120"/>
      <c r="C74" s="121"/>
      <c r="D74" s="121"/>
      <c r="E74" s="121"/>
      <c r="F74" s="120"/>
      <c r="G74" s="122">
        <v>6</v>
      </c>
      <c r="H74" s="121"/>
      <c r="I74" s="123"/>
      <c r="J74" s="124">
        <v>40</v>
      </c>
      <c r="K74" s="124">
        <f t="shared" si="9"/>
        <v>29.439999999999998</v>
      </c>
    </row>
    <row r="75" spans="1:11" x14ac:dyDescent="0.2">
      <c r="A75" s="119" t="s">
        <v>304</v>
      </c>
      <c r="B75" s="120"/>
      <c r="C75" s="121"/>
      <c r="D75" s="121"/>
      <c r="E75" s="121"/>
      <c r="F75" s="120"/>
      <c r="G75" s="122">
        <v>6</v>
      </c>
      <c r="H75" s="121"/>
      <c r="I75" s="123"/>
      <c r="J75" s="124">
        <v>50</v>
      </c>
      <c r="K75" s="124">
        <f t="shared" si="9"/>
        <v>36.799999999999997</v>
      </c>
    </row>
    <row r="76" spans="1:11" x14ac:dyDescent="0.2">
      <c r="A76" s="119" t="s">
        <v>305</v>
      </c>
      <c r="B76" s="120"/>
      <c r="C76" s="121"/>
      <c r="D76" s="121"/>
      <c r="E76" s="121"/>
      <c r="F76" s="120"/>
      <c r="G76" s="122">
        <v>6</v>
      </c>
      <c r="H76" s="121"/>
      <c r="I76" s="123"/>
      <c r="J76" s="124">
        <v>60</v>
      </c>
      <c r="K76" s="124">
        <f t="shared" si="9"/>
        <v>44.16</v>
      </c>
    </row>
    <row r="77" spans="1:11" x14ac:dyDescent="0.2">
      <c r="A77" s="125"/>
      <c r="B77" s="120"/>
      <c r="C77" s="121"/>
      <c r="D77" s="121"/>
      <c r="E77" s="121"/>
      <c r="F77" s="120"/>
      <c r="G77" s="25"/>
      <c r="H77" s="121"/>
      <c r="I77" s="123"/>
      <c r="J77" s="124"/>
      <c r="K77" s="124"/>
    </row>
    <row r="78" spans="1:11" x14ac:dyDescent="0.2">
      <c r="A78" s="119" t="s">
        <v>306</v>
      </c>
      <c r="B78" s="120"/>
      <c r="C78" s="121"/>
      <c r="D78" s="121"/>
      <c r="E78" s="121"/>
      <c r="F78" s="120"/>
      <c r="G78" s="122">
        <v>6</v>
      </c>
      <c r="H78" s="121"/>
      <c r="I78" s="123"/>
      <c r="J78" s="124">
        <v>30</v>
      </c>
      <c r="K78" s="124">
        <f t="shared" si="9"/>
        <v>22.08</v>
      </c>
    </row>
    <row r="79" spans="1:11" x14ac:dyDescent="0.2">
      <c r="A79" s="119" t="s">
        <v>307</v>
      </c>
      <c r="B79" s="120"/>
      <c r="C79" s="121"/>
      <c r="D79" s="121"/>
      <c r="E79" s="121"/>
      <c r="F79" s="120"/>
      <c r="G79" s="122">
        <v>6</v>
      </c>
      <c r="H79" s="121"/>
      <c r="I79" s="123"/>
      <c r="J79" s="124">
        <v>40</v>
      </c>
      <c r="K79" s="124">
        <f t="shared" si="9"/>
        <v>29.439999999999998</v>
      </c>
    </row>
    <row r="80" spans="1:11" x14ac:dyDescent="0.2">
      <c r="A80" s="119" t="s">
        <v>399</v>
      </c>
      <c r="B80" s="120"/>
      <c r="C80" s="121"/>
      <c r="D80" s="121"/>
      <c r="E80" s="121"/>
      <c r="F80" s="120"/>
      <c r="G80" s="122"/>
      <c r="H80" s="121"/>
      <c r="I80" s="123"/>
      <c r="J80" s="124">
        <v>50</v>
      </c>
      <c r="K80" s="124">
        <f t="shared" si="9"/>
        <v>36.799999999999997</v>
      </c>
    </row>
    <row r="81" spans="1:11" x14ac:dyDescent="0.2">
      <c r="A81" s="119" t="s">
        <v>308</v>
      </c>
      <c r="B81" s="120"/>
      <c r="C81" s="121"/>
      <c r="D81" s="121"/>
      <c r="E81" s="121"/>
      <c r="F81" s="120"/>
      <c r="G81" s="122">
        <v>6</v>
      </c>
      <c r="H81" s="121"/>
      <c r="I81" s="123"/>
      <c r="J81" s="124">
        <v>60</v>
      </c>
      <c r="K81" s="124">
        <f t="shared" si="9"/>
        <v>44.16</v>
      </c>
    </row>
    <row r="82" spans="1:11" x14ac:dyDescent="0.2">
      <c r="A82" s="125"/>
      <c r="B82" s="120"/>
      <c r="C82" s="121"/>
      <c r="D82" s="121"/>
      <c r="E82" s="121"/>
      <c r="F82" s="120"/>
      <c r="G82" s="25"/>
      <c r="H82" s="121"/>
      <c r="I82" s="123"/>
      <c r="J82" s="124"/>
      <c r="K82" s="124"/>
    </row>
    <row r="83" spans="1:11" x14ac:dyDescent="0.2">
      <c r="A83" s="119" t="s">
        <v>309</v>
      </c>
      <c r="B83" s="120">
        <v>1</v>
      </c>
      <c r="C83" s="121">
        <v>0.8</v>
      </c>
      <c r="D83" s="121">
        <f>+B83*C83</f>
        <v>0.8</v>
      </c>
      <c r="E83" s="121">
        <v>0.5</v>
      </c>
      <c r="F83" s="120">
        <v>750</v>
      </c>
      <c r="G83" s="122">
        <v>2</v>
      </c>
      <c r="H83" s="121"/>
      <c r="I83" s="123"/>
      <c r="J83" s="124">
        <v>45</v>
      </c>
      <c r="K83" s="124">
        <f>+J83*0.736</f>
        <v>33.119999999999997</v>
      </c>
    </row>
    <row r="84" spans="1:11" x14ac:dyDescent="0.2">
      <c r="A84" s="119" t="s">
        <v>310</v>
      </c>
      <c r="B84" s="120">
        <v>2</v>
      </c>
      <c r="C84" s="121">
        <v>0.8</v>
      </c>
      <c r="D84" s="121">
        <f>+B84*C84</f>
        <v>1.6</v>
      </c>
      <c r="E84" s="121">
        <v>0.5</v>
      </c>
      <c r="F84" s="120">
        <v>750</v>
      </c>
      <c r="G84" s="122">
        <v>2</v>
      </c>
      <c r="H84" s="121"/>
      <c r="I84" s="123"/>
      <c r="J84" s="124">
        <v>90</v>
      </c>
      <c r="K84" s="124">
        <f>+J84*0.736</f>
        <v>66.239999999999995</v>
      </c>
    </row>
    <row r="85" spans="1:11" x14ac:dyDescent="0.2">
      <c r="A85" s="119" t="s">
        <v>296</v>
      </c>
      <c r="B85" s="120">
        <v>3</v>
      </c>
      <c r="C85" s="121">
        <v>0.8</v>
      </c>
      <c r="D85" s="121">
        <f>+B85*C85</f>
        <v>2.4000000000000004</v>
      </c>
      <c r="E85" s="121">
        <v>0.5</v>
      </c>
      <c r="F85" s="120">
        <v>750</v>
      </c>
      <c r="G85" s="122">
        <v>2</v>
      </c>
      <c r="H85" s="121"/>
      <c r="I85" s="123"/>
      <c r="J85" s="124">
        <v>130</v>
      </c>
      <c r="K85" s="124">
        <f>+J85*0.736</f>
        <v>95.679999999999993</v>
      </c>
    </row>
    <row r="86" spans="1:11" x14ac:dyDescent="0.2">
      <c r="A86" s="129"/>
      <c r="B86" s="120"/>
      <c r="C86" s="121"/>
      <c r="D86" s="121"/>
      <c r="E86" s="121"/>
      <c r="F86" s="120"/>
      <c r="G86" s="122"/>
      <c r="H86" s="121"/>
      <c r="I86" s="123"/>
      <c r="J86" s="124"/>
      <c r="K86" s="124"/>
    </row>
    <row r="87" spans="1:11" x14ac:dyDescent="0.2">
      <c r="A87" s="126" t="s">
        <v>311</v>
      </c>
      <c r="B87" s="120"/>
      <c r="C87" s="121"/>
      <c r="D87" s="121"/>
      <c r="E87" s="121"/>
      <c r="F87" s="120"/>
      <c r="G87" s="122"/>
      <c r="H87" s="121"/>
      <c r="I87" s="123"/>
      <c r="J87" s="124"/>
      <c r="K87" s="124"/>
    </row>
    <row r="88" spans="1:11" x14ac:dyDescent="0.2">
      <c r="A88" s="119" t="s">
        <v>312</v>
      </c>
      <c r="B88" s="120"/>
      <c r="C88" s="121"/>
      <c r="D88" s="121">
        <v>2</v>
      </c>
      <c r="E88" s="121"/>
      <c r="F88" s="120"/>
      <c r="G88" s="122">
        <v>4</v>
      </c>
      <c r="H88" s="121"/>
      <c r="I88" s="123"/>
      <c r="J88" s="124">
        <v>30</v>
      </c>
      <c r="K88" s="124">
        <f>+J88*0.736</f>
        <v>22.08</v>
      </c>
    </row>
    <row r="89" spans="1:11" x14ac:dyDescent="0.2">
      <c r="A89" s="125"/>
      <c r="B89" s="120"/>
      <c r="C89" s="121"/>
      <c r="D89" s="121">
        <v>2.25</v>
      </c>
      <c r="E89" s="121"/>
      <c r="F89" s="120"/>
      <c r="G89" s="122">
        <v>4</v>
      </c>
      <c r="H89" s="121"/>
      <c r="I89" s="123"/>
      <c r="J89" s="124">
        <v>35</v>
      </c>
      <c r="K89" s="124">
        <f>+J89*0.736</f>
        <v>25.759999999999998</v>
      </c>
    </row>
    <row r="90" spans="1:11" x14ac:dyDescent="0.2">
      <c r="A90" s="125"/>
      <c r="B90" s="120"/>
      <c r="C90" s="121"/>
      <c r="D90" s="121">
        <v>2.5</v>
      </c>
      <c r="E90" s="121"/>
      <c r="F90" s="120"/>
      <c r="G90" s="122">
        <v>4</v>
      </c>
      <c r="H90" s="121"/>
      <c r="I90" s="123"/>
      <c r="J90" s="124">
        <v>40</v>
      </c>
      <c r="K90" s="124">
        <f>+J90*0.736</f>
        <v>29.439999999999998</v>
      </c>
    </row>
    <row r="91" spans="1:11" x14ac:dyDescent="0.2">
      <c r="A91" s="125"/>
      <c r="B91" s="120"/>
      <c r="C91" s="121"/>
      <c r="D91" s="121">
        <v>2.75</v>
      </c>
      <c r="E91" s="121"/>
      <c r="F91" s="120"/>
      <c r="G91" s="122">
        <v>4</v>
      </c>
      <c r="H91" s="121"/>
      <c r="I91" s="123"/>
      <c r="J91" s="124">
        <v>45</v>
      </c>
      <c r="K91" s="124">
        <f>+J91*0.736</f>
        <v>33.119999999999997</v>
      </c>
    </row>
    <row r="92" spans="1:11" x14ac:dyDescent="0.2">
      <c r="A92" s="125"/>
      <c r="B92" s="120"/>
      <c r="C92" s="121"/>
      <c r="D92" s="121">
        <v>3</v>
      </c>
      <c r="E92" s="121"/>
      <c r="F92" s="120"/>
      <c r="G92" s="122">
        <v>4</v>
      </c>
      <c r="H92" s="121"/>
      <c r="I92" s="123"/>
      <c r="J92" s="124">
        <v>50</v>
      </c>
      <c r="K92" s="124">
        <f>+J92*0.736</f>
        <v>36.799999999999997</v>
      </c>
    </row>
    <row r="93" spans="1:11" x14ac:dyDescent="0.2">
      <c r="A93" s="129"/>
      <c r="B93" s="120"/>
      <c r="C93" s="121"/>
      <c r="D93" s="121"/>
      <c r="E93" s="121"/>
      <c r="F93" s="120"/>
      <c r="G93" s="122"/>
      <c r="H93" s="121"/>
      <c r="I93" s="123"/>
      <c r="J93" s="124"/>
      <c r="K93" s="124"/>
    </row>
    <row r="94" spans="1:11" x14ac:dyDescent="0.2">
      <c r="A94" s="119" t="s">
        <v>313</v>
      </c>
      <c r="B94" s="120" t="s">
        <v>314</v>
      </c>
      <c r="C94" s="121">
        <v>0.8</v>
      </c>
      <c r="D94" s="121">
        <f>4*0.8</f>
        <v>3.2</v>
      </c>
      <c r="E94" s="121"/>
      <c r="F94" s="120"/>
      <c r="G94" s="122">
        <v>3</v>
      </c>
      <c r="H94" s="121"/>
      <c r="I94" s="123"/>
      <c r="J94" s="124">
        <v>50</v>
      </c>
      <c r="K94" s="124">
        <f>+J94*0.736</f>
        <v>36.799999999999997</v>
      </c>
    </row>
    <row r="95" spans="1:11" x14ac:dyDescent="0.2">
      <c r="A95" s="119" t="s">
        <v>299</v>
      </c>
      <c r="B95" s="120" t="s">
        <v>315</v>
      </c>
      <c r="C95" s="121">
        <v>0.8</v>
      </c>
      <c r="D95" s="121">
        <f>6*C95</f>
        <v>4.8000000000000007</v>
      </c>
      <c r="E95" s="121"/>
      <c r="F95" s="120"/>
      <c r="G95" s="122">
        <v>3</v>
      </c>
      <c r="H95" s="121"/>
      <c r="I95" s="123"/>
      <c r="J95" s="124">
        <v>60</v>
      </c>
      <c r="K95" s="124">
        <f>+J95*0.736</f>
        <v>44.16</v>
      </c>
    </row>
    <row r="96" spans="1:11" x14ac:dyDescent="0.2">
      <c r="A96" s="119" t="s">
        <v>316</v>
      </c>
      <c r="B96" s="120" t="s">
        <v>317</v>
      </c>
      <c r="C96" s="121">
        <v>0.8</v>
      </c>
      <c r="D96" s="121">
        <f>8*0.8</f>
        <v>6.4</v>
      </c>
      <c r="E96" s="121"/>
      <c r="F96" s="120"/>
      <c r="G96" s="122">
        <v>3</v>
      </c>
      <c r="H96" s="121"/>
      <c r="I96" s="123"/>
      <c r="J96" s="124">
        <v>70</v>
      </c>
      <c r="K96" s="124">
        <f>+J96*0.736</f>
        <v>51.519999999999996</v>
      </c>
    </row>
    <row r="97" spans="1:11" x14ac:dyDescent="0.2">
      <c r="A97" s="129"/>
      <c r="B97" s="120"/>
      <c r="C97" s="121"/>
      <c r="D97" s="121"/>
      <c r="E97" s="121"/>
      <c r="F97" s="120"/>
      <c r="G97" s="122"/>
      <c r="H97" s="121"/>
      <c r="I97" s="123"/>
      <c r="J97" s="124"/>
      <c r="K97" s="124"/>
    </row>
    <row r="98" spans="1:11" x14ac:dyDescent="0.2">
      <c r="A98" s="126" t="s">
        <v>318</v>
      </c>
      <c r="B98" s="120"/>
      <c r="C98" s="121"/>
      <c r="D98" s="121"/>
      <c r="E98" s="121"/>
      <c r="F98" s="120"/>
      <c r="G98" s="122"/>
      <c r="H98" s="121"/>
      <c r="I98" s="123"/>
      <c r="J98" s="124"/>
      <c r="K98" s="124"/>
    </row>
    <row r="99" spans="1:11" x14ac:dyDescent="0.2">
      <c r="A99" s="119" t="s">
        <v>319</v>
      </c>
      <c r="B99" s="120"/>
      <c r="C99" s="121"/>
      <c r="D99" s="121">
        <v>2.2999999999999998</v>
      </c>
      <c r="E99" s="121"/>
      <c r="F99" s="120"/>
      <c r="G99" s="122">
        <v>4</v>
      </c>
      <c r="H99" s="121"/>
      <c r="I99" s="123"/>
      <c r="J99" s="124">
        <v>35</v>
      </c>
      <c r="K99" s="124">
        <f>+J99*0.736</f>
        <v>25.759999999999998</v>
      </c>
    </row>
    <row r="100" spans="1:11" x14ac:dyDescent="0.2">
      <c r="A100" s="125"/>
      <c r="B100" s="120"/>
      <c r="C100" s="121"/>
      <c r="D100" s="121">
        <v>3.05</v>
      </c>
      <c r="E100" s="121"/>
      <c r="F100" s="120"/>
      <c r="G100" s="122">
        <v>4</v>
      </c>
      <c r="H100" s="121"/>
      <c r="I100" s="123"/>
      <c r="J100" s="124">
        <v>45</v>
      </c>
      <c r="K100" s="124">
        <f>+J100*0.736</f>
        <v>33.119999999999997</v>
      </c>
    </row>
    <row r="101" spans="1:11" x14ac:dyDescent="0.2">
      <c r="A101" s="125"/>
      <c r="B101" s="120"/>
      <c r="C101" s="121"/>
      <c r="D101" s="121"/>
      <c r="E101" s="121"/>
      <c r="F101" s="120"/>
      <c r="G101" s="122"/>
      <c r="H101" s="121"/>
      <c r="I101" s="123"/>
      <c r="J101" s="124"/>
      <c r="K101" s="124"/>
    </row>
    <row r="102" spans="1:11" x14ac:dyDescent="0.2">
      <c r="A102" s="126" t="s">
        <v>320</v>
      </c>
      <c r="B102" s="131"/>
      <c r="C102" s="132"/>
      <c r="D102" s="132"/>
      <c r="E102" s="132"/>
      <c r="F102" s="131"/>
      <c r="G102" s="133"/>
      <c r="H102" s="132"/>
      <c r="I102" s="124"/>
      <c r="J102" s="124"/>
      <c r="K102" s="124"/>
    </row>
    <row r="103" spans="1:11" x14ac:dyDescent="0.2">
      <c r="A103" s="119" t="s">
        <v>321</v>
      </c>
      <c r="B103" s="120">
        <v>2</v>
      </c>
      <c r="C103" s="121">
        <v>0.8</v>
      </c>
      <c r="D103" s="121">
        <f>+B103*C103</f>
        <v>1.6</v>
      </c>
      <c r="E103" s="121"/>
      <c r="F103" s="120"/>
      <c r="G103" s="122">
        <v>2</v>
      </c>
      <c r="H103" s="121"/>
      <c r="I103" s="123"/>
      <c r="J103" s="124">
        <v>15</v>
      </c>
      <c r="K103" s="124">
        <f>+J103*0.736</f>
        <v>11.04</v>
      </c>
    </row>
    <row r="104" spans="1:11" x14ac:dyDescent="0.2">
      <c r="A104" s="119" t="s">
        <v>297</v>
      </c>
      <c r="B104" s="120">
        <v>4</v>
      </c>
      <c r="C104" s="121">
        <v>0.8</v>
      </c>
      <c r="D104" s="121">
        <f>+B104*C104</f>
        <v>3.2</v>
      </c>
      <c r="E104" s="121"/>
      <c r="F104" s="120"/>
      <c r="G104" s="122">
        <v>2</v>
      </c>
      <c r="H104" s="121"/>
      <c r="I104" s="123"/>
      <c r="J104" s="124">
        <v>25</v>
      </c>
      <c r="K104" s="124">
        <f>+J104*0.736</f>
        <v>18.399999999999999</v>
      </c>
    </row>
    <row r="105" spans="1:11" x14ac:dyDescent="0.2">
      <c r="A105" s="119" t="s">
        <v>299</v>
      </c>
      <c r="B105" s="25">
        <v>6</v>
      </c>
      <c r="C105" s="121">
        <v>0.8</v>
      </c>
      <c r="D105" s="121">
        <f>+B105*C105</f>
        <v>4.8000000000000007</v>
      </c>
      <c r="E105" s="121"/>
      <c r="F105" s="120"/>
      <c r="G105" s="122">
        <v>2</v>
      </c>
      <c r="H105" s="121"/>
      <c r="I105" s="123"/>
      <c r="J105" s="124">
        <v>35</v>
      </c>
      <c r="K105" s="124">
        <f>+J105*0.736</f>
        <v>25.759999999999998</v>
      </c>
    </row>
    <row r="106" spans="1:11" x14ac:dyDescent="0.2">
      <c r="A106" s="125"/>
      <c r="B106" s="25"/>
      <c r="C106" s="121"/>
      <c r="D106" s="121"/>
      <c r="E106" s="121"/>
      <c r="F106" s="120"/>
      <c r="G106" s="122"/>
      <c r="H106" s="121"/>
      <c r="I106" s="123"/>
      <c r="J106" s="124"/>
      <c r="K106" s="124"/>
    </row>
    <row r="107" spans="1:11" x14ac:dyDescent="0.2">
      <c r="A107" s="126" t="s">
        <v>322</v>
      </c>
      <c r="B107" s="120"/>
      <c r="C107" s="121"/>
      <c r="D107" s="121"/>
      <c r="E107" s="121"/>
      <c r="F107" s="120"/>
      <c r="G107" s="122"/>
      <c r="H107" s="121"/>
      <c r="I107" s="123"/>
      <c r="J107" s="124"/>
      <c r="K107" s="124"/>
    </row>
    <row r="108" spans="1:11" x14ac:dyDescent="0.2">
      <c r="A108" s="119" t="s">
        <v>323</v>
      </c>
      <c r="B108" s="120"/>
      <c r="C108" s="121"/>
      <c r="D108" s="121"/>
      <c r="E108" s="121"/>
      <c r="F108" s="120"/>
      <c r="G108" s="122">
        <v>5</v>
      </c>
      <c r="H108" s="121"/>
      <c r="I108" s="123"/>
      <c r="J108" s="124">
        <v>20</v>
      </c>
      <c r="K108" s="124">
        <f>+J108*0.736</f>
        <v>14.719999999999999</v>
      </c>
    </row>
    <row r="109" spans="1:11" x14ac:dyDescent="0.2">
      <c r="A109" s="119" t="s">
        <v>303</v>
      </c>
      <c r="B109" s="120"/>
      <c r="C109" s="121"/>
      <c r="D109" s="121"/>
      <c r="E109" s="121"/>
      <c r="F109" s="120"/>
      <c r="G109" s="122">
        <v>5</v>
      </c>
      <c r="H109" s="121"/>
      <c r="I109" s="123"/>
      <c r="J109" s="124">
        <v>30</v>
      </c>
      <c r="K109" s="124">
        <f>+J109*0.736</f>
        <v>22.08</v>
      </c>
    </row>
    <row r="110" spans="1:11" x14ac:dyDescent="0.2">
      <c r="A110" s="119" t="s">
        <v>304</v>
      </c>
      <c r="B110" s="120"/>
      <c r="C110" s="121"/>
      <c r="D110" s="121"/>
      <c r="E110" s="121"/>
      <c r="F110" s="120"/>
      <c r="G110" s="122">
        <v>5</v>
      </c>
      <c r="H110" s="121"/>
      <c r="I110" s="123"/>
      <c r="J110" s="124">
        <v>40</v>
      </c>
      <c r="K110" s="124">
        <f>+J110*0.736</f>
        <v>29.439999999999998</v>
      </c>
    </row>
    <row r="111" spans="1:11" x14ac:dyDescent="0.2">
      <c r="A111" s="125"/>
      <c r="B111" s="120"/>
      <c r="C111" s="121"/>
      <c r="D111" s="121"/>
      <c r="E111" s="121"/>
      <c r="F111" s="120"/>
      <c r="G111" s="25"/>
      <c r="H111" s="121"/>
      <c r="I111" s="123"/>
      <c r="J111" s="124"/>
      <c r="K111" s="124"/>
    </row>
    <row r="112" spans="1:11" x14ac:dyDescent="0.2">
      <c r="A112" s="119" t="s">
        <v>324</v>
      </c>
      <c r="B112" s="120"/>
      <c r="C112" s="121"/>
      <c r="D112" s="121"/>
      <c r="E112" s="121"/>
      <c r="F112" s="120"/>
      <c r="G112" s="122">
        <v>5</v>
      </c>
      <c r="H112" s="121"/>
      <c r="I112" s="123"/>
      <c r="J112" s="124">
        <v>50</v>
      </c>
      <c r="K112" s="124">
        <f>+J112*0.736</f>
        <v>36.799999999999997</v>
      </c>
    </row>
    <row r="113" spans="1:11" x14ac:dyDescent="0.2">
      <c r="A113" s="119" t="s">
        <v>325</v>
      </c>
      <c r="B113" s="120"/>
      <c r="C113" s="121"/>
      <c r="D113" s="121"/>
      <c r="E113" s="121"/>
      <c r="F113" s="120"/>
      <c r="G113" s="122">
        <v>5</v>
      </c>
      <c r="H113" s="121"/>
      <c r="I113" s="123"/>
      <c r="J113" s="124">
        <v>55</v>
      </c>
      <c r="K113" s="124">
        <f>+J113*0.736</f>
        <v>40.479999999999997</v>
      </c>
    </row>
    <row r="114" spans="1:11" x14ac:dyDescent="0.2">
      <c r="A114" s="119" t="s">
        <v>307</v>
      </c>
      <c r="B114" s="120"/>
      <c r="C114" s="121"/>
      <c r="D114" s="121"/>
      <c r="E114" s="121"/>
      <c r="F114" s="120"/>
      <c r="G114" s="122">
        <v>5</v>
      </c>
      <c r="H114" s="121"/>
      <c r="I114" s="123"/>
      <c r="J114" s="124">
        <v>60</v>
      </c>
      <c r="K114" s="124">
        <f>+J114*0.736</f>
        <v>44.16</v>
      </c>
    </row>
    <row r="115" spans="1:11" x14ac:dyDescent="0.2">
      <c r="A115" s="125"/>
      <c r="B115" s="120"/>
      <c r="C115" s="121"/>
      <c r="D115" s="121"/>
      <c r="E115" s="121"/>
      <c r="F115" s="120"/>
      <c r="G115" s="25"/>
      <c r="H115" s="121"/>
      <c r="I115" s="123"/>
      <c r="J115" s="124"/>
      <c r="K115" s="124"/>
    </row>
    <row r="116" spans="1:11" x14ac:dyDescent="0.2">
      <c r="A116" s="126" t="s">
        <v>201</v>
      </c>
      <c r="B116" s="120"/>
      <c r="C116" s="121"/>
      <c r="D116" s="121"/>
      <c r="E116" s="121"/>
      <c r="F116" s="120"/>
      <c r="G116" s="122"/>
      <c r="H116" s="121"/>
      <c r="I116" s="123"/>
      <c r="J116" s="124"/>
      <c r="K116" s="124"/>
    </row>
    <row r="117" spans="1:11" x14ac:dyDescent="0.2">
      <c r="A117" s="119" t="s">
        <v>326</v>
      </c>
      <c r="B117" s="120"/>
      <c r="C117" s="121"/>
      <c r="D117" s="121">
        <v>1.5</v>
      </c>
      <c r="E117" s="121"/>
      <c r="F117" s="120"/>
      <c r="G117" s="122">
        <v>2</v>
      </c>
      <c r="H117" s="121"/>
      <c r="I117" s="123"/>
      <c r="J117" s="124">
        <v>15</v>
      </c>
      <c r="K117" s="124">
        <f t="shared" ref="K117:K129" si="10">+J117*0.736</f>
        <v>11.04</v>
      </c>
    </row>
    <row r="118" spans="1:11" x14ac:dyDescent="0.2">
      <c r="A118" s="125"/>
      <c r="B118" s="120"/>
      <c r="C118" s="121"/>
      <c r="D118" s="121">
        <v>1.8</v>
      </c>
      <c r="E118" s="121"/>
      <c r="F118" s="120"/>
      <c r="G118" s="122">
        <v>2</v>
      </c>
      <c r="H118" s="121"/>
      <c r="I118" s="123"/>
      <c r="J118" s="124">
        <v>20</v>
      </c>
      <c r="K118" s="124">
        <f t="shared" si="10"/>
        <v>14.719999999999999</v>
      </c>
    </row>
    <row r="119" spans="1:11" x14ac:dyDescent="0.2">
      <c r="A119" s="125"/>
      <c r="B119" s="120"/>
      <c r="C119" s="121"/>
      <c r="D119" s="25"/>
      <c r="E119" s="25"/>
      <c r="F119" s="25"/>
      <c r="G119" s="25"/>
      <c r="H119" s="25"/>
      <c r="I119" s="25"/>
      <c r="J119" s="138"/>
      <c r="K119" s="138"/>
    </row>
    <row r="120" spans="1:11" ht="20.399999999999999" x14ac:dyDescent="0.2">
      <c r="A120" s="119" t="s">
        <v>327</v>
      </c>
      <c r="B120" s="120"/>
      <c r="C120" s="121"/>
      <c r="D120" s="121">
        <v>2</v>
      </c>
      <c r="E120" s="121"/>
      <c r="F120" s="120"/>
      <c r="G120" s="122">
        <v>2</v>
      </c>
      <c r="H120" s="121"/>
      <c r="I120" s="123"/>
      <c r="J120" s="124">
        <v>30</v>
      </c>
      <c r="K120" s="124">
        <f t="shared" si="10"/>
        <v>22.08</v>
      </c>
    </row>
    <row r="121" spans="1:11" x14ac:dyDescent="0.2">
      <c r="A121" s="125"/>
      <c r="B121" s="120"/>
      <c r="C121" s="121"/>
      <c r="D121" s="121">
        <v>2.5</v>
      </c>
      <c r="E121" s="121"/>
      <c r="F121" s="120"/>
      <c r="G121" s="122">
        <v>2</v>
      </c>
      <c r="H121" s="121"/>
      <c r="I121" s="123"/>
      <c r="J121" s="124">
        <v>40</v>
      </c>
      <c r="K121" s="124">
        <f t="shared" si="10"/>
        <v>29.439999999999998</v>
      </c>
    </row>
    <row r="122" spans="1:11" x14ac:dyDescent="0.2">
      <c r="A122" s="125"/>
      <c r="B122" s="120"/>
      <c r="C122" s="121"/>
      <c r="D122" s="121">
        <v>3</v>
      </c>
      <c r="E122" s="121"/>
      <c r="F122" s="120"/>
      <c r="G122" s="122">
        <v>2</v>
      </c>
      <c r="H122" s="121"/>
      <c r="I122" s="123"/>
      <c r="J122" s="124">
        <v>50</v>
      </c>
      <c r="K122" s="124">
        <f t="shared" si="10"/>
        <v>36.799999999999997</v>
      </c>
    </row>
    <row r="123" spans="1:11" x14ac:dyDescent="0.2">
      <c r="A123" s="125"/>
      <c r="B123" s="120"/>
      <c r="C123" s="121"/>
      <c r="D123" s="25"/>
      <c r="E123" s="25"/>
      <c r="F123" s="25"/>
      <c r="G123" s="25"/>
      <c r="H123" s="25"/>
      <c r="I123" s="25"/>
      <c r="J123" s="138"/>
      <c r="K123" s="138"/>
    </row>
    <row r="124" spans="1:11" x14ac:dyDescent="0.2">
      <c r="A124" s="119" t="s">
        <v>328</v>
      </c>
      <c r="B124" s="120"/>
      <c r="C124" s="121"/>
      <c r="D124" s="121">
        <v>1.6</v>
      </c>
      <c r="E124" s="121"/>
      <c r="F124" s="120"/>
      <c r="G124" s="122">
        <v>2</v>
      </c>
      <c r="H124" s="121"/>
      <c r="I124" s="123"/>
      <c r="J124" s="124">
        <v>30</v>
      </c>
      <c r="K124" s="124">
        <f t="shared" si="10"/>
        <v>22.08</v>
      </c>
    </row>
    <row r="125" spans="1:11" x14ac:dyDescent="0.2">
      <c r="A125" s="119"/>
      <c r="B125" s="120"/>
      <c r="C125" s="121"/>
      <c r="D125" s="121">
        <v>2</v>
      </c>
      <c r="E125" s="121"/>
      <c r="F125" s="120"/>
      <c r="G125" s="122">
        <v>2</v>
      </c>
      <c r="H125" s="121"/>
      <c r="I125" s="123"/>
      <c r="J125" s="124">
        <v>40</v>
      </c>
      <c r="K125" s="124">
        <f t="shared" si="10"/>
        <v>29.439999999999998</v>
      </c>
    </row>
    <row r="126" spans="1:11" x14ac:dyDescent="0.2">
      <c r="A126" s="119"/>
      <c r="B126" s="120"/>
      <c r="C126" s="121"/>
      <c r="D126" s="121">
        <v>2.4</v>
      </c>
      <c r="E126" s="121"/>
      <c r="F126" s="120"/>
      <c r="G126" s="122">
        <v>2</v>
      </c>
      <c r="H126" s="121"/>
      <c r="I126" s="123"/>
      <c r="J126" s="124">
        <v>50</v>
      </c>
      <c r="K126" s="124">
        <f t="shared" si="10"/>
        <v>36.799999999999997</v>
      </c>
    </row>
    <row r="127" spans="1:11" x14ac:dyDescent="0.2">
      <c r="A127" s="119"/>
      <c r="B127" s="120"/>
      <c r="C127" s="121"/>
      <c r="D127" s="25"/>
      <c r="E127" s="25"/>
      <c r="F127" s="25"/>
      <c r="G127" s="25"/>
      <c r="H127" s="25"/>
      <c r="I127" s="25"/>
      <c r="J127" s="138"/>
      <c r="K127" s="138"/>
    </row>
    <row r="128" spans="1:11" ht="20.399999999999999" x14ac:dyDescent="0.2">
      <c r="A128" s="119" t="s">
        <v>329</v>
      </c>
      <c r="B128" s="120"/>
      <c r="C128" s="121"/>
      <c r="D128" s="121">
        <v>1.8</v>
      </c>
      <c r="E128" s="121"/>
      <c r="F128" s="120"/>
      <c r="G128" s="122">
        <v>2</v>
      </c>
      <c r="H128" s="121"/>
      <c r="I128" s="123"/>
      <c r="J128" s="124">
        <v>35</v>
      </c>
      <c r="K128" s="124">
        <f t="shared" si="10"/>
        <v>25.759999999999998</v>
      </c>
    </row>
    <row r="129" spans="1:11" x14ac:dyDescent="0.2">
      <c r="A129" s="119" t="s">
        <v>330</v>
      </c>
      <c r="B129" s="120"/>
      <c r="C129" s="121"/>
      <c r="D129" s="121">
        <v>3.6</v>
      </c>
      <c r="E129" s="121"/>
      <c r="F129" s="120"/>
      <c r="G129" s="122">
        <v>2</v>
      </c>
      <c r="H129" s="121"/>
      <c r="I129" s="123"/>
      <c r="J129" s="124">
        <v>70</v>
      </c>
      <c r="K129" s="124">
        <f t="shared" si="10"/>
        <v>51.519999999999996</v>
      </c>
    </row>
    <row r="130" spans="1:11" x14ac:dyDescent="0.2">
      <c r="A130" s="119"/>
      <c r="B130" s="120"/>
      <c r="C130" s="121"/>
      <c r="D130" s="25"/>
      <c r="E130" s="25"/>
      <c r="F130" s="25"/>
      <c r="G130" s="25"/>
      <c r="H130" s="25"/>
      <c r="I130" s="25"/>
      <c r="J130" s="138"/>
      <c r="K130" s="138"/>
    </row>
    <row r="131" spans="1:11" x14ac:dyDescent="0.2">
      <c r="A131" s="126" t="s">
        <v>331</v>
      </c>
      <c r="B131" s="120"/>
      <c r="C131" s="121"/>
      <c r="D131" s="121"/>
      <c r="E131" s="121"/>
      <c r="F131" s="120"/>
      <c r="G131" s="122"/>
      <c r="H131" s="121"/>
      <c r="I131" s="123"/>
      <c r="J131" s="124"/>
      <c r="K131" s="124"/>
    </row>
    <row r="132" spans="1:11" x14ac:dyDescent="0.2">
      <c r="A132" s="119" t="s">
        <v>332</v>
      </c>
      <c r="B132" s="131"/>
      <c r="C132" s="132"/>
      <c r="D132" s="121">
        <v>1.8</v>
      </c>
      <c r="E132" s="121"/>
      <c r="F132" s="120"/>
      <c r="G132" s="122">
        <v>3</v>
      </c>
      <c r="H132" s="121"/>
      <c r="I132" s="123"/>
      <c r="J132" s="124">
        <v>25</v>
      </c>
      <c r="K132" s="124">
        <f>+J132*0.736</f>
        <v>18.399999999999999</v>
      </c>
    </row>
    <row r="133" spans="1:11" x14ac:dyDescent="0.2">
      <c r="A133" s="125"/>
      <c r="B133" s="120"/>
      <c r="C133" s="121"/>
      <c r="D133" s="121">
        <v>2.2000000000000002</v>
      </c>
      <c r="E133" s="121"/>
      <c r="F133" s="120"/>
      <c r="G133" s="122">
        <v>3</v>
      </c>
      <c r="H133" s="121"/>
      <c r="I133" s="123"/>
      <c r="J133" s="124">
        <v>30</v>
      </c>
      <c r="K133" s="124">
        <f>+J133*0.736</f>
        <v>22.08</v>
      </c>
    </row>
    <row r="134" spans="1:11" x14ac:dyDescent="0.2">
      <c r="A134" s="125"/>
      <c r="B134" s="120"/>
      <c r="C134" s="121"/>
      <c r="D134" s="25"/>
      <c r="E134" s="25"/>
      <c r="F134" s="25"/>
      <c r="G134" s="25"/>
      <c r="H134" s="25"/>
      <c r="I134" s="25"/>
      <c r="J134" s="138"/>
      <c r="K134" s="138"/>
    </row>
    <row r="135" spans="1:11" x14ac:dyDescent="0.2">
      <c r="A135" s="119" t="s">
        <v>333</v>
      </c>
      <c r="B135" s="120"/>
      <c r="C135" s="121"/>
      <c r="D135" s="121">
        <v>3</v>
      </c>
      <c r="E135" s="121"/>
      <c r="F135" s="120"/>
      <c r="G135" s="122">
        <v>3</v>
      </c>
      <c r="H135" s="121"/>
      <c r="I135" s="123"/>
      <c r="J135" s="124">
        <v>45</v>
      </c>
      <c r="K135" s="124">
        <f>+J135*0.736</f>
        <v>33.119999999999997</v>
      </c>
    </row>
    <row r="136" spans="1:11" x14ac:dyDescent="0.2">
      <c r="A136" s="125"/>
      <c r="B136" s="120"/>
      <c r="C136" s="121"/>
      <c r="D136" s="25"/>
      <c r="E136" s="25"/>
      <c r="F136" s="25"/>
      <c r="G136" s="25"/>
      <c r="H136" s="25"/>
      <c r="I136" s="25"/>
      <c r="J136" s="138"/>
      <c r="K136" s="138"/>
    </row>
    <row r="137" spans="1:11" x14ac:dyDescent="0.2">
      <c r="A137" s="126" t="s">
        <v>334</v>
      </c>
      <c r="B137" s="120"/>
      <c r="C137" s="121"/>
      <c r="D137" s="121"/>
      <c r="E137" s="121"/>
      <c r="F137" s="120"/>
      <c r="G137" s="122"/>
      <c r="H137" s="121"/>
      <c r="I137" s="123"/>
      <c r="J137" s="124"/>
      <c r="K137" s="124"/>
    </row>
    <row r="138" spans="1:11" ht="20.399999999999999" x14ac:dyDescent="0.2">
      <c r="A138" s="119" t="s">
        <v>335</v>
      </c>
      <c r="B138" s="131"/>
      <c r="C138" s="132"/>
      <c r="D138" s="121">
        <v>1.3</v>
      </c>
      <c r="E138" s="121"/>
      <c r="F138" s="120"/>
      <c r="G138" s="122">
        <v>3</v>
      </c>
      <c r="H138" s="121"/>
      <c r="I138" s="123"/>
      <c r="J138" s="124">
        <v>40</v>
      </c>
      <c r="K138" s="124">
        <f t="shared" ref="K138:K145" si="11">+J138*0.736</f>
        <v>29.439999999999998</v>
      </c>
    </row>
    <row r="139" spans="1:11" x14ac:dyDescent="0.2">
      <c r="A139" s="119"/>
      <c r="B139" s="120"/>
      <c r="C139" s="121"/>
      <c r="D139" s="121">
        <v>1.5</v>
      </c>
      <c r="E139" s="121"/>
      <c r="F139" s="120"/>
      <c r="G139" s="122">
        <v>3</v>
      </c>
      <c r="H139" s="121"/>
      <c r="I139" s="123"/>
      <c r="J139" s="124">
        <v>45</v>
      </c>
      <c r="K139" s="124">
        <f t="shared" si="11"/>
        <v>33.119999999999997</v>
      </c>
    </row>
    <row r="140" spans="1:11" x14ac:dyDescent="0.2">
      <c r="A140" s="119"/>
      <c r="B140" s="120"/>
      <c r="C140" s="121"/>
      <c r="D140" s="121">
        <v>1.7</v>
      </c>
      <c r="E140" s="121"/>
      <c r="F140" s="120"/>
      <c r="G140" s="122">
        <v>3</v>
      </c>
      <c r="H140" s="121"/>
      <c r="I140" s="123"/>
      <c r="J140" s="124">
        <v>50</v>
      </c>
      <c r="K140" s="124">
        <f t="shared" si="11"/>
        <v>36.799999999999997</v>
      </c>
    </row>
    <row r="141" spans="1:11" x14ac:dyDescent="0.2">
      <c r="A141" s="119"/>
      <c r="B141" s="120"/>
      <c r="C141" s="121"/>
      <c r="D141" s="25"/>
      <c r="E141" s="25"/>
      <c r="F141" s="25"/>
      <c r="G141" s="25"/>
      <c r="H141" s="25"/>
      <c r="I141" s="25"/>
      <c r="J141" s="138"/>
      <c r="K141" s="138"/>
    </row>
    <row r="142" spans="1:11" x14ac:dyDescent="0.2">
      <c r="A142" s="119" t="s">
        <v>336</v>
      </c>
      <c r="B142" s="120"/>
      <c r="C142" s="121"/>
      <c r="D142" s="121">
        <v>1.3</v>
      </c>
      <c r="E142" s="121"/>
      <c r="F142" s="120"/>
      <c r="G142" s="122">
        <v>3</v>
      </c>
      <c r="H142" s="121"/>
      <c r="I142" s="123"/>
      <c r="J142" s="124">
        <v>50</v>
      </c>
      <c r="K142" s="124">
        <f t="shared" si="11"/>
        <v>36.799999999999997</v>
      </c>
    </row>
    <row r="143" spans="1:11" x14ac:dyDescent="0.2">
      <c r="A143" s="119"/>
      <c r="B143" s="120"/>
      <c r="C143" s="121"/>
      <c r="D143" s="121">
        <v>1.5</v>
      </c>
      <c r="E143" s="121"/>
      <c r="F143" s="120"/>
      <c r="G143" s="122">
        <v>3</v>
      </c>
      <c r="H143" s="121"/>
      <c r="I143" s="123"/>
      <c r="J143" s="124">
        <v>60</v>
      </c>
      <c r="K143" s="124">
        <f t="shared" si="11"/>
        <v>44.16</v>
      </c>
    </row>
    <row r="144" spans="1:11" x14ac:dyDescent="0.2">
      <c r="A144" s="119"/>
      <c r="B144" s="120"/>
      <c r="C144" s="121"/>
      <c r="D144" s="25"/>
      <c r="E144" s="25"/>
      <c r="F144" s="25"/>
      <c r="G144" s="25"/>
      <c r="H144" s="25"/>
      <c r="I144" s="25"/>
      <c r="J144" s="138"/>
      <c r="K144" s="138"/>
    </row>
    <row r="145" spans="1:11" x14ac:dyDescent="0.2">
      <c r="A145" s="119" t="s">
        <v>337</v>
      </c>
      <c r="B145" s="120"/>
      <c r="C145" s="121"/>
      <c r="D145" s="121">
        <v>1.5</v>
      </c>
      <c r="E145" s="121"/>
      <c r="F145" s="120"/>
      <c r="G145" s="122">
        <v>3</v>
      </c>
      <c r="H145" s="121"/>
      <c r="I145" s="123"/>
      <c r="J145" s="124">
        <v>60</v>
      </c>
      <c r="K145" s="124">
        <f t="shared" si="11"/>
        <v>44.16</v>
      </c>
    </row>
    <row r="146" spans="1:11" x14ac:dyDescent="0.2">
      <c r="A146" s="125"/>
      <c r="B146" s="120"/>
      <c r="C146" s="121"/>
      <c r="D146" s="25"/>
      <c r="E146" s="25"/>
      <c r="F146" s="25"/>
      <c r="G146" s="25"/>
      <c r="H146" s="25"/>
      <c r="I146" s="25"/>
      <c r="J146" s="138"/>
      <c r="K146" s="138"/>
    </row>
    <row r="147" spans="1:11" x14ac:dyDescent="0.2">
      <c r="A147" s="126" t="s">
        <v>338</v>
      </c>
      <c r="B147" s="120"/>
      <c r="C147" s="121"/>
      <c r="D147" s="121"/>
      <c r="E147" s="121"/>
      <c r="F147" s="120"/>
      <c r="G147" s="122"/>
      <c r="H147" s="121"/>
      <c r="I147" s="123"/>
      <c r="J147" s="124"/>
      <c r="K147" s="124"/>
    </row>
    <row r="148" spans="1:11" x14ac:dyDescent="0.2">
      <c r="A148" s="119" t="s">
        <v>339</v>
      </c>
      <c r="B148" s="120"/>
      <c r="C148" s="121"/>
      <c r="D148" s="121">
        <v>1.2</v>
      </c>
      <c r="E148" s="121"/>
      <c r="F148" s="120"/>
      <c r="G148" s="122">
        <v>2</v>
      </c>
      <c r="H148" s="121"/>
      <c r="I148" s="123"/>
      <c r="J148" s="124">
        <v>40</v>
      </c>
      <c r="K148" s="124">
        <f t="shared" ref="K148:K158" si="12">+J148*0.736</f>
        <v>29.439999999999998</v>
      </c>
    </row>
    <row r="149" spans="1:11" x14ac:dyDescent="0.2">
      <c r="A149" s="119"/>
      <c r="B149" s="120"/>
      <c r="C149" s="121"/>
      <c r="D149" s="121">
        <v>1.4</v>
      </c>
      <c r="E149" s="121"/>
      <c r="F149" s="120"/>
      <c r="G149" s="122">
        <v>2</v>
      </c>
      <c r="H149" s="121"/>
      <c r="I149" s="123"/>
      <c r="J149" s="124">
        <v>45</v>
      </c>
      <c r="K149" s="124">
        <f t="shared" si="12"/>
        <v>33.119999999999997</v>
      </c>
    </row>
    <row r="150" spans="1:11" x14ac:dyDescent="0.2">
      <c r="A150" s="119"/>
      <c r="B150" s="120"/>
      <c r="C150" s="121"/>
      <c r="D150" s="25"/>
      <c r="E150" s="25"/>
      <c r="F150" s="25"/>
      <c r="G150" s="25"/>
      <c r="H150" s="25"/>
      <c r="I150" s="25"/>
      <c r="J150" s="138"/>
      <c r="K150" s="138"/>
    </row>
    <row r="151" spans="1:11" x14ac:dyDescent="0.2">
      <c r="A151" s="119" t="s">
        <v>247</v>
      </c>
      <c r="B151" s="120"/>
      <c r="C151" s="121"/>
      <c r="D151" s="121">
        <v>1.6</v>
      </c>
      <c r="E151" s="121"/>
      <c r="F151" s="120"/>
      <c r="G151" s="122">
        <v>2</v>
      </c>
      <c r="H151" s="121"/>
      <c r="I151" s="123"/>
      <c r="J151" s="124">
        <v>50</v>
      </c>
      <c r="K151" s="124">
        <f t="shared" si="12"/>
        <v>36.799999999999997</v>
      </c>
    </row>
    <row r="152" spans="1:11" x14ac:dyDescent="0.2">
      <c r="A152" s="125"/>
      <c r="B152" s="120"/>
      <c r="C152" s="121"/>
      <c r="D152" s="121">
        <v>1.8</v>
      </c>
      <c r="E152" s="121"/>
      <c r="F152" s="120"/>
      <c r="G152" s="122">
        <v>2</v>
      </c>
      <c r="H152" s="121"/>
      <c r="I152" s="123"/>
      <c r="J152" s="124">
        <v>60</v>
      </c>
      <c r="K152" s="124">
        <f t="shared" si="12"/>
        <v>44.16</v>
      </c>
    </row>
    <row r="153" spans="1:11" x14ac:dyDescent="0.2">
      <c r="A153" s="125"/>
      <c r="B153" s="120"/>
      <c r="C153" s="121"/>
      <c r="D153" s="25"/>
      <c r="E153" s="25"/>
      <c r="F153" s="25"/>
      <c r="G153" s="25"/>
      <c r="H153" s="25"/>
      <c r="I153" s="25"/>
      <c r="J153" s="138"/>
      <c r="K153" s="138"/>
    </row>
    <row r="154" spans="1:11" x14ac:dyDescent="0.2">
      <c r="A154" s="119" t="s">
        <v>340</v>
      </c>
      <c r="B154" s="120">
        <v>1</v>
      </c>
      <c r="C154" s="121">
        <v>0.8</v>
      </c>
      <c r="D154" s="121">
        <f>+B154*C154</f>
        <v>0.8</v>
      </c>
      <c r="E154" s="121"/>
      <c r="F154" s="120"/>
      <c r="G154" s="122">
        <v>2</v>
      </c>
      <c r="H154" s="121"/>
      <c r="I154" s="123"/>
      <c r="J154" s="124">
        <v>40</v>
      </c>
      <c r="K154" s="124">
        <f t="shared" si="12"/>
        <v>29.439999999999998</v>
      </c>
    </row>
    <row r="155" spans="1:11" x14ac:dyDescent="0.2">
      <c r="A155" s="119" t="s">
        <v>310</v>
      </c>
      <c r="B155" s="120">
        <v>2</v>
      </c>
      <c r="C155" s="121">
        <v>0.8</v>
      </c>
      <c r="D155" s="121">
        <f>+B155*C155</f>
        <v>1.6</v>
      </c>
      <c r="E155" s="121"/>
      <c r="F155" s="120"/>
      <c r="G155" s="122">
        <v>2</v>
      </c>
      <c r="H155" s="121"/>
      <c r="I155" s="123"/>
      <c r="J155" s="124">
        <v>60</v>
      </c>
      <c r="K155" s="124">
        <f t="shared" si="12"/>
        <v>44.16</v>
      </c>
    </row>
    <row r="156" spans="1:11" x14ac:dyDescent="0.2">
      <c r="A156" s="119" t="s">
        <v>296</v>
      </c>
      <c r="B156" s="120">
        <v>3</v>
      </c>
      <c r="C156" s="121">
        <v>0.8</v>
      </c>
      <c r="D156" s="121">
        <f>+B156*C156</f>
        <v>2.4000000000000004</v>
      </c>
      <c r="E156" s="121"/>
      <c r="F156" s="120"/>
      <c r="G156" s="122">
        <v>2</v>
      </c>
      <c r="H156" s="121"/>
      <c r="I156" s="123"/>
      <c r="J156" s="124">
        <v>80</v>
      </c>
      <c r="K156" s="124">
        <f t="shared" si="12"/>
        <v>58.879999999999995</v>
      </c>
    </row>
    <row r="157" spans="1:11" x14ac:dyDescent="0.2">
      <c r="A157" s="125"/>
      <c r="B157" s="25"/>
      <c r="C157" s="25"/>
      <c r="D157" s="25"/>
      <c r="E157" s="25"/>
      <c r="F157" s="25"/>
      <c r="G157" s="25"/>
      <c r="H157" s="25"/>
      <c r="I157" s="25"/>
      <c r="J157" s="138"/>
      <c r="K157" s="138"/>
    </row>
    <row r="158" spans="1:11" x14ac:dyDescent="0.2">
      <c r="A158" s="119" t="s">
        <v>222</v>
      </c>
      <c r="B158" s="120"/>
      <c r="C158" s="121"/>
      <c r="D158" s="121"/>
      <c r="E158" s="121"/>
      <c r="F158" s="120"/>
      <c r="G158" s="122"/>
      <c r="H158" s="121"/>
      <c r="I158" s="123"/>
      <c r="J158" s="124">
        <v>45</v>
      </c>
      <c r="K158" s="124">
        <f t="shared" si="12"/>
        <v>33.119999999999997</v>
      </c>
    </row>
    <row r="159" spans="1:11" x14ac:dyDescent="0.2">
      <c r="A159" s="125"/>
      <c r="B159" s="120"/>
      <c r="C159" s="121"/>
      <c r="D159" s="121"/>
      <c r="E159" s="121"/>
      <c r="F159" s="120"/>
      <c r="G159" s="122"/>
      <c r="H159" s="121"/>
      <c r="I159" s="123"/>
      <c r="J159" s="138"/>
      <c r="K159" s="138"/>
    </row>
    <row r="160" spans="1:11" x14ac:dyDescent="0.2">
      <c r="A160" s="126" t="s">
        <v>341</v>
      </c>
      <c r="B160" s="120"/>
      <c r="C160" s="121"/>
      <c r="D160" s="121"/>
      <c r="E160" s="121"/>
      <c r="F160" s="120"/>
      <c r="G160" s="122"/>
      <c r="H160" s="121"/>
      <c r="I160" s="123"/>
      <c r="J160" s="124"/>
      <c r="K160" s="124"/>
    </row>
    <row r="161" spans="1:11" x14ac:dyDescent="0.2">
      <c r="A161" s="119" t="s">
        <v>342</v>
      </c>
      <c r="B161" s="120"/>
      <c r="C161" s="121"/>
      <c r="D161" s="121"/>
      <c r="E161" s="121"/>
      <c r="F161" s="120"/>
      <c r="G161" s="122">
        <v>2</v>
      </c>
      <c r="H161" s="121"/>
      <c r="I161" s="123"/>
      <c r="J161" s="124">
        <v>60</v>
      </c>
      <c r="K161" s="124">
        <f>+J161*0.736</f>
        <v>44.16</v>
      </c>
    </row>
    <row r="162" spans="1:11" x14ac:dyDescent="0.2">
      <c r="A162" s="119" t="s">
        <v>223</v>
      </c>
      <c r="B162" s="120"/>
      <c r="C162" s="121"/>
      <c r="D162" s="121"/>
      <c r="E162" s="121"/>
      <c r="F162" s="120"/>
      <c r="G162" s="122">
        <v>2</v>
      </c>
      <c r="H162" s="121"/>
      <c r="I162" s="123"/>
      <c r="J162" s="124">
        <v>80</v>
      </c>
      <c r="K162" s="124">
        <f>+J162*0.736</f>
        <v>58.879999999999995</v>
      </c>
    </row>
    <row r="163" spans="1:11" x14ac:dyDescent="0.2">
      <c r="A163" s="125"/>
      <c r="B163" s="120"/>
      <c r="C163" s="121"/>
      <c r="D163" s="121"/>
      <c r="E163" s="121"/>
      <c r="F163" s="120"/>
      <c r="G163" s="25"/>
      <c r="H163" s="121"/>
      <c r="I163" s="123"/>
      <c r="J163" s="124"/>
      <c r="K163" s="124"/>
    </row>
    <row r="164" spans="1:11" x14ac:dyDescent="0.2">
      <c r="A164" s="126" t="s">
        <v>343</v>
      </c>
      <c r="B164" s="120"/>
      <c r="C164" s="121"/>
      <c r="D164" s="121"/>
      <c r="E164" s="121"/>
      <c r="F164" s="120"/>
      <c r="G164" s="122"/>
      <c r="H164" s="121"/>
      <c r="I164" s="123"/>
      <c r="J164" s="124"/>
      <c r="K164" s="124"/>
    </row>
    <row r="165" spans="1:11" x14ac:dyDescent="0.2">
      <c r="A165" s="119" t="s">
        <v>344</v>
      </c>
      <c r="B165" s="120"/>
      <c r="C165" s="121"/>
      <c r="D165" s="121"/>
      <c r="E165" s="121"/>
      <c r="F165" s="120"/>
      <c r="G165" s="122">
        <v>2</v>
      </c>
      <c r="H165" s="121"/>
      <c r="I165" s="123"/>
      <c r="J165" s="124">
        <v>35</v>
      </c>
      <c r="K165" s="124">
        <f>+J165*0.736</f>
        <v>25.759999999999998</v>
      </c>
    </row>
    <row r="166" spans="1:11" x14ac:dyDescent="0.2">
      <c r="A166" s="125"/>
      <c r="B166" s="120"/>
      <c r="C166" s="121"/>
      <c r="D166" s="121"/>
      <c r="E166" s="121"/>
      <c r="F166" s="120"/>
      <c r="G166" s="122"/>
      <c r="H166" s="121"/>
      <c r="I166" s="123"/>
      <c r="J166" s="124"/>
      <c r="K166" s="124"/>
    </row>
    <row r="167" spans="1:11" x14ac:dyDescent="0.2">
      <c r="A167" s="126" t="s">
        <v>345</v>
      </c>
      <c r="B167" s="120"/>
      <c r="C167" s="121"/>
      <c r="D167" s="121"/>
      <c r="E167" s="121"/>
      <c r="F167" s="120"/>
      <c r="G167" s="122"/>
      <c r="H167" s="121"/>
      <c r="I167" s="123"/>
      <c r="J167" s="124"/>
      <c r="K167" s="124"/>
    </row>
    <row r="168" spans="1:11" x14ac:dyDescent="0.2">
      <c r="A168" s="119" t="s">
        <v>346</v>
      </c>
      <c r="B168" s="131"/>
      <c r="C168" s="132"/>
      <c r="D168" s="121">
        <v>1.2</v>
      </c>
      <c r="E168" s="25"/>
      <c r="F168" s="120"/>
      <c r="G168" s="122">
        <v>2</v>
      </c>
      <c r="H168" s="121"/>
      <c r="I168" s="123"/>
      <c r="J168" s="124">
        <v>30</v>
      </c>
      <c r="K168" s="124">
        <f>+J168*0.736</f>
        <v>22.08</v>
      </c>
    </row>
    <row r="169" spans="1:11" x14ac:dyDescent="0.2">
      <c r="A169" s="125"/>
      <c r="B169" s="120"/>
      <c r="C169" s="121"/>
      <c r="D169" s="121">
        <v>1.8</v>
      </c>
      <c r="E169" s="25"/>
      <c r="F169" s="120"/>
      <c r="G169" s="122">
        <v>2</v>
      </c>
      <c r="H169" s="121"/>
      <c r="I169" s="123"/>
      <c r="J169" s="124">
        <v>40</v>
      </c>
      <c r="K169" s="124">
        <f>+J169*0.736</f>
        <v>29.439999999999998</v>
      </c>
    </row>
    <row r="170" spans="1:11" x14ac:dyDescent="0.2">
      <c r="A170" s="125"/>
      <c r="B170" s="120"/>
      <c r="C170" s="121"/>
      <c r="D170" s="121">
        <v>2.4</v>
      </c>
      <c r="E170" s="25"/>
      <c r="F170" s="120"/>
      <c r="G170" s="122">
        <v>2</v>
      </c>
      <c r="H170" s="121"/>
      <c r="I170" s="123"/>
      <c r="J170" s="124">
        <v>50</v>
      </c>
      <c r="K170" s="124">
        <f>+J170*0.736</f>
        <v>36.799999999999997</v>
      </c>
    </row>
    <row r="171" spans="1:11" x14ac:dyDescent="0.2">
      <c r="A171" s="125"/>
      <c r="B171" s="120"/>
      <c r="C171" s="121"/>
      <c r="D171" s="25"/>
      <c r="E171" s="25"/>
      <c r="F171" s="25"/>
      <c r="G171" s="25"/>
      <c r="H171" s="25"/>
      <c r="I171" s="25"/>
      <c r="J171" s="138"/>
      <c r="K171" s="138"/>
    </row>
    <row r="172" spans="1:11" x14ac:dyDescent="0.2">
      <c r="A172" s="126" t="s">
        <v>347</v>
      </c>
      <c r="B172" s="120"/>
      <c r="C172" s="121"/>
      <c r="D172" s="121"/>
      <c r="E172" s="25"/>
      <c r="F172" s="120"/>
      <c r="G172" s="122"/>
      <c r="H172" s="121"/>
      <c r="I172" s="123"/>
      <c r="J172" s="124"/>
      <c r="K172" s="124"/>
    </row>
    <row r="173" spans="1:11" x14ac:dyDescent="0.2">
      <c r="A173" s="119" t="s">
        <v>348</v>
      </c>
      <c r="B173" s="131"/>
      <c r="C173" s="132"/>
      <c r="D173" s="121">
        <v>1.6</v>
      </c>
      <c r="E173" s="25"/>
      <c r="F173" s="120"/>
      <c r="G173" s="122">
        <v>2</v>
      </c>
      <c r="H173" s="121"/>
      <c r="I173" s="123"/>
      <c r="J173" s="124">
        <v>45</v>
      </c>
      <c r="K173" s="124">
        <f>+J173*0.736</f>
        <v>33.119999999999997</v>
      </c>
    </row>
    <row r="174" spans="1:11" x14ac:dyDescent="0.2">
      <c r="A174" s="125"/>
      <c r="B174" s="120"/>
      <c r="C174" s="121"/>
      <c r="D174" s="121">
        <v>1.8</v>
      </c>
      <c r="E174" s="25"/>
      <c r="F174" s="120"/>
      <c r="G174" s="122">
        <v>2</v>
      </c>
      <c r="H174" s="121"/>
      <c r="I174" s="123"/>
      <c r="J174" s="124">
        <v>50</v>
      </c>
      <c r="K174" s="124">
        <f>+J174*0.736</f>
        <v>36.799999999999997</v>
      </c>
    </row>
    <row r="175" spans="1:11" x14ac:dyDescent="0.2">
      <c r="A175" s="125"/>
      <c r="B175" s="120"/>
      <c r="C175" s="121"/>
      <c r="D175" s="121">
        <v>2</v>
      </c>
      <c r="E175" s="25"/>
      <c r="F175" s="120"/>
      <c r="G175" s="122">
        <v>2</v>
      </c>
      <c r="H175" s="121"/>
      <c r="I175" s="123"/>
      <c r="J175" s="124">
        <v>60</v>
      </c>
      <c r="K175" s="124">
        <f>+J175*0.736</f>
        <v>44.16</v>
      </c>
    </row>
    <row r="176" spans="1:11" x14ac:dyDescent="0.2">
      <c r="A176" s="126" t="s">
        <v>349</v>
      </c>
      <c r="B176" s="120"/>
      <c r="C176" s="121"/>
      <c r="D176" s="25"/>
      <c r="E176" s="25"/>
      <c r="F176" s="25"/>
      <c r="G176" s="25"/>
      <c r="H176" s="25"/>
      <c r="I176" s="25"/>
      <c r="J176" s="138"/>
      <c r="K176" s="138"/>
    </row>
    <row r="177" spans="1:11" x14ac:dyDescent="0.2">
      <c r="A177" s="119" t="s">
        <v>350</v>
      </c>
      <c r="B177" s="120"/>
      <c r="C177" s="121"/>
      <c r="D177" s="121"/>
      <c r="E177" s="121"/>
      <c r="F177" s="120"/>
      <c r="G177" s="122"/>
      <c r="H177" s="121"/>
      <c r="I177" s="123"/>
      <c r="J177" s="124">
        <v>45</v>
      </c>
      <c r="K177" s="124">
        <f>+J177*0.736</f>
        <v>33.119999999999997</v>
      </c>
    </row>
    <row r="178" spans="1:11" x14ac:dyDescent="0.2">
      <c r="A178" s="119" t="s">
        <v>351</v>
      </c>
      <c r="B178" s="120"/>
      <c r="C178" s="121"/>
      <c r="D178" s="121"/>
      <c r="E178" s="121"/>
      <c r="F178" s="120"/>
      <c r="G178" s="122"/>
      <c r="H178" s="121"/>
      <c r="I178" s="123"/>
      <c r="J178" s="124">
        <v>53</v>
      </c>
      <c r="K178" s="124">
        <f t="shared" ref="K178:K185" si="13">+J178*0.736</f>
        <v>39.008000000000003</v>
      </c>
    </row>
    <row r="179" spans="1:11" x14ac:dyDescent="0.2">
      <c r="A179" s="119" t="s">
        <v>352</v>
      </c>
      <c r="B179" s="120"/>
      <c r="C179" s="121"/>
      <c r="D179" s="121"/>
      <c r="E179" s="121"/>
      <c r="F179" s="120"/>
      <c r="G179" s="122"/>
      <c r="H179" s="121"/>
      <c r="I179" s="123"/>
      <c r="J179" s="124">
        <v>60</v>
      </c>
      <c r="K179" s="124">
        <f t="shared" si="13"/>
        <v>44.16</v>
      </c>
    </row>
    <row r="180" spans="1:11" x14ac:dyDescent="0.2">
      <c r="A180" s="139" t="s">
        <v>353</v>
      </c>
      <c r="B180" s="140"/>
      <c r="C180" s="141"/>
      <c r="D180" s="141"/>
      <c r="E180" s="141"/>
      <c r="F180" s="140"/>
      <c r="G180" s="142"/>
      <c r="H180" s="141"/>
      <c r="I180" s="143"/>
      <c r="J180" s="144">
        <v>70</v>
      </c>
      <c r="K180" s="124">
        <f t="shared" si="13"/>
        <v>51.519999999999996</v>
      </c>
    </row>
    <row r="181" spans="1:11" x14ac:dyDescent="0.2">
      <c r="A181" s="145" t="s">
        <v>354</v>
      </c>
      <c r="B181" s="25"/>
      <c r="C181" s="128"/>
      <c r="D181" s="128"/>
      <c r="E181" s="128"/>
      <c r="F181" s="25"/>
      <c r="G181" s="146"/>
      <c r="H181" s="128"/>
      <c r="I181" s="147"/>
      <c r="J181" s="148">
        <v>80</v>
      </c>
      <c r="K181" s="124">
        <f t="shared" si="13"/>
        <v>58.879999999999995</v>
      </c>
    </row>
    <row r="182" spans="1:11" x14ac:dyDescent="0.2">
      <c r="A182" s="127" t="s">
        <v>355</v>
      </c>
      <c r="B182" s="25"/>
      <c r="C182" s="128"/>
      <c r="D182" s="128"/>
      <c r="E182" s="128"/>
      <c r="F182" s="25"/>
      <c r="G182" s="146"/>
      <c r="H182" s="128"/>
      <c r="I182" s="147"/>
      <c r="J182" s="148">
        <v>90</v>
      </c>
      <c r="K182" s="124">
        <f t="shared" si="13"/>
        <v>66.239999999999995</v>
      </c>
    </row>
    <row r="183" spans="1:11" x14ac:dyDescent="0.2">
      <c r="A183" s="127" t="s">
        <v>356</v>
      </c>
      <c r="B183" s="25"/>
      <c r="C183" s="128"/>
      <c r="D183" s="128"/>
      <c r="E183" s="128"/>
      <c r="F183" s="25"/>
      <c r="G183" s="146"/>
      <c r="H183" s="128"/>
      <c r="I183" s="147"/>
      <c r="J183" s="148">
        <v>105</v>
      </c>
      <c r="K183" s="124">
        <f t="shared" si="13"/>
        <v>77.28</v>
      </c>
    </row>
    <row r="184" spans="1:11" x14ac:dyDescent="0.2">
      <c r="A184" s="127" t="s">
        <v>357</v>
      </c>
      <c r="B184" s="25"/>
      <c r="C184" s="128"/>
      <c r="D184" s="128"/>
      <c r="E184" s="128"/>
      <c r="F184" s="25"/>
      <c r="G184" s="146"/>
      <c r="H184" s="128"/>
      <c r="I184" s="147"/>
      <c r="J184" s="148">
        <v>120</v>
      </c>
      <c r="K184" s="124">
        <f t="shared" si="13"/>
        <v>88.32</v>
      </c>
    </row>
    <row r="185" spans="1:11" x14ac:dyDescent="0.2">
      <c r="A185" s="127" t="s">
        <v>358</v>
      </c>
      <c r="B185" s="25"/>
      <c r="C185" s="128"/>
      <c r="D185" s="128"/>
      <c r="E185" s="128"/>
      <c r="F185" s="25"/>
      <c r="G185" s="146"/>
      <c r="H185" s="128"/>
      <c r="I185" s="147"/>
      <c r="J185" s="148">
        <v>140</v>
      </c>
      <c r="K185" s="124">
        <f t="shared" si="13"/>
        <v>103.03999999999999</v>
      </c>
    </row>
    <row r="186" spans="1:11" x14ac:dyDescent="0.2">
      <c r="A186" s="129"/>
      <c r="B186" s="25"/>
      <c r="C186" s="128"/>
      <c r="D186" s="128"/>
      <c r="E186" s="128"/>
      <c r="F186" s="25"/>
      <c r="G186" s="146"/>
      <c r="H186" s="128"/>
      <c r="I186" s="147"/>
      <c r="J186" s="148"/>
      <c r="K186" s="148"/>
    </row>
  </sheetData>
  <mergeCells count="3">
    <mergeCell ref="A2:A3"/>
    <mergeCell ref="B2:E2"/>
    <mergeCell ref="J2:K2"/>
  </mergeCells>
  <phoneticPr fontId="1" type="noConversion"/>
  <hyperlinks>
    <hyperlink ref="A1" location="Índice!A1" display="(voltar ao índice)"/>
    <hyperlink ref="F2" location="ResEsp!A1" display="Res.esp.do solo"/>
  </hyperlinks>
  <printOptions horizontalCentered="1" verticalCentered="1" gridLines="1"/>
  <pageMargins left="7.874015748031496E-2" right="7.874015748031496E-2" top="7.874015748031496E-2" bottom="7.874015748031496E-2" header="0" footer="0"/>
  <pageSetup paperSize="9" scale="90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pane ySplit="4" topLeftCell="A5" activePane="bottomLeft" state="frozen"/>
      <selection pane="bottomLeft" activeCell="E17" sqref="E17"/>
    </sheetView>
  </sheetViews>
  <sheetFormatPr defaultColWidth="9.109375" defaultRowHeight="10.199999999999999" x14ac:dyDescent="0.2"/>
  <cols>
    <col min="1" max="1" width="62.6640625" style="3" customWidth="1"/>
    <col min="2" max="2" width="15.33203125" style="3" customWidth="1"/>
    <col min="3" max="3" width="21" style="3" customWidth="1"/>
    <col min="4" max="5" width="9.109375" style="3"/>
    <col min="6" max="6" width="7.88671875" style="3" bestFit="1" customWidth="1"/>
    <col min="7" max="16384" width="9.109375" style="3"/>
  </cols>
  <sheetData>
    <row r="1" spans="1:3" ht="20.100000000000001" customHeight="1" x14ac:dyDescent="0.2">
      <c r="A1" s="30" t="s">
        <v>240</v>
      </c>
    </row>
    <row r="2" spans="1:3" ht="20.100000000000001" customHeight="1" x14ac:dyDescent="0.25">
      <c r="A2" s="86" t="s">
        <v>359</v>
      </c>
    </row>
    <row r="3" spans="1:3" ht="20.100000000000001" customHeight="1" thickBot="1" x14ac:dyDescent="0.25">
      <c r="A3" s="2" t="s">
        <v>360</v>
      </c>
    </row>
    <row r="4" spans="1:3" ht="20.100000000000001" customHeight="1" thickBot="1" x14ac:dyDescent="0.25">
      <c r="A4" s="90" t="s">
        <v>361</v>
      </c>
      <c r="B4" s="91" t="s">
        <v>362</v>
      </c>
      <c r="C4" s="91" t="s">
        <v>363</v>
      </c>
    </row>
    <row r="5" spans="1:3" ht="20.100000000000001" customHeight="1" x14ac:dyDescent="0.2">
      <c r="A5" s="92" t="s">
        <v>364</v>
      </c>
      <c r="B5" s="93" t="s">
        <v>365</v>
      </c>
      <c r="C5" s="93" t="s">
        <v>366</v>
      </c>
    </row>
    <row r="6" spans="1:3" ht="20.100000000000001" customHeight="1" x14ac:dyDescent="0.2">
      <c r="A6" s="92" t="s">
        <v>367</v>
      </c>
      <c r="B6" s="93" t="s">
        <v>368</v>
      </c>
      <c r="C6" s="93" t="s">
        <v>369</v>
      </c>
    </row>
    <row r="7" spans="1:3" ht="20.100000000000001" customHeight="1" x14ac:dyDescent="0.2">
      <c r="A7" s="92" t="s">
        <v>370</v>
      </c>
      <c r="B7" s="93" t="s">
        <v>371</v>
      </c>
      <c r="C7" s="93" t="s">
        <v>372</v>
      </c>
    </row>
    <row r="8" spans="1:3" ht="20.100000000000001" customHeight="1" x14ac:dyDescent="0.2">
      <c r="A8" s="92" t="s">
        <v>373</v>
      </c>
      <c r="B8" s="93" t="s">
        <v>374</v>
      </c>
      <c r="C8" s="93" t="s">
        <v>375</v>
      </c>
    </row>
    <row r="9" spans="1:3" ht="20.100000000000001" customHeight="1" x14ac:dyDescent="0.2">
      <c r="A9" s="92" t="s">
        <v>376</v>
      </c>
      <c r="B9" s="93" t="s">
        <v>377</v>
      </c>
      <c r="C9" s="93" t="s">
        <v>378</v>
      </c>
    </row>
    <row r="10" spans="1:3" ht="20.100000000000001" customHeight="1" x14ac:dyDescent="0.2">
      <c r="A10" s="92" t="s">
        <v>379</v>
      </c>
      <c r="B10" s="93" t="s">
        <v>377</v>
      </c>
      <c r="C10" s="93" t="s">
        <v>378</v>
      </c>
    </row>
    <row r="11" spans="1:3" ht="20.100000000000001" customHeight="1" x14ac:dyDescent="0.2">
      <c r="A11" s="92" t="s">
        <v>380</v>
      </c>
      <c r="B11" s="93" t="s">
        <v>381</v>
      </c>
      <c r="C11" s="93" t="s">
        <v>382</v>
      </c>
    </row>
    <row r="12" spans="1:3" ht="20.100000000000001" customHeight="1" x14ac:dyDescent="0.2">
      <c r="A12" s="92" t="s">
        <v>383</v>
      </c>
      <c r="B12" s="93" t="s">
        <v>384</v>
      </c>
      <c r="C12" s="93" t="s">
        <v>385</v>
      </c>
    </row>
    <row r="13" spans="1:3" ht="20.100000000000001" customHeight="1" x14ac:dyDescent="0.2">
      <c r="A13" s="92" t="s">
        <v>386</v>
      </c>
      <c r="B13" s="93" t="s">
        <v>387</v>
      </c>
      <c r="C13" s="93" t="s">
        <v>388</v>
      </c>
    </row>
    <row r="14" spans="1:3" ht="20.100000000000001" customHeight="1" x14ac:dyDescent="0.2">
      <c r="A14" s="92" t="s">
        <v>389</v>
      </c>
      <c r="B14" s="93" t="s">
        <v>390</v>
      </c>
      <c r="C14" s="93" t="s">
        <v>391</v>
      </c>
    </row>
    <row r="15" spans="1:3" ht="20.100000000000001" customHeight="1" thickBot="1" x14ac:dyDescent="0.25">
      <c r="A15" s="94" t="s">
        <v>392</v>
      </c>
      <c r="B15" s="95" t="s">
        <v>393</v>
      </c>
      <c r="C15" s="95" t="s">
        <v>394</v>
      </c>
    </row>
    <row r="16" spans="1:3" ht="20.100000000000001" customHeight="1" x14ac:dyDescent="0.2">
      <c r="A16" s="87" t="s">
        <v>395</v>
      </c>
      <c r="B16" s="88"/>
      <c r="C16" s="88"/>
    </row>
    <row r="17" spans="1:6" ht="20.100000000000001" customHeight="1" x14ac:dyDescent="0.2">
      <c r="A17" s="89" t="s">
        <v>397</v>
      </c>
      <c r="B17" s="88"/>
      <c r="C17" s="88"/>
    </row>
    <row r="18" spans="1:6" ht="20.100000000000001" customHeight="1" x14ac:dyDescent="0.2">
      <c r="A18" s="89" t="s">
        <v>398</v>
      </c>
      <c r="B18" s="88"/>
      <c r="C18" s="88"/>
    </row>
    <row r="19" spans="1:6" ht="20.100000000000001" customHeight="1" x14ac:dyDescent="0.2">
      <c r="A19" s="88" t="s">
        <v>396</v>
      </c>
      <c r="B19" s="88"/>
      <c r="C19" s="88"/>
    </row>
    <row r="20" spans="1:6" x14ac:dyDescent="0.2">
      <c r="A20" s="20"/>
    </row>
    <row r="22" spans="1:6" x14ac:dyDescent="0.2">
      <c r="F22" s="20"/>
    </row>
    <row r="23" spans="1:6" x14ac:dyDescent="0.2">
      <c r="A23" s="20"/>
    </row>
  </sheetData>
  <phoneticPr fontId="1" type="noConversion"/>
  <hyperlinks>
    <hyperlink ref="A1" location="Índice!A1" display="(voltar ao índice)"/>
  </hyperlinks>
  <printOptions horizontalCentered="1" gridLines="1"/>
  <pageMargins left="0.78740157480314965" right="0.78740157480314965" top="0.98425196850393704" bottom="0.98425196850393704" header="0" footer="0"/>
  <pageSetup paperSize="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pane ySplit="3" topLeftCell="A4" activePane="bottomLeft" state="frozen"/>
      <selection pane="bottomLeft" activeCell="D15" sqref="D15"/>
    </sheetView>
  </sheetViews>
  <sheetFormatPr defaultColWidth="9.109375" defaultRowHeight="10.199999999999999" x14ac:dyDescent="0.2"/>
  <cols>
    <col min="1" max="1" width="50.5546875" style="3" customWidth="1"/>
    <col min="2" max="2" width="43.44140625" style="2" bestFit="1" customWidth="1"/>
    <col min="3" max="3" width="13.88671875" style="3" customWidth="1"/>
    <col min="4" max="16384" width="9.109375" style="3"/>
  </cols>
  <sheetData>
    <row r="1" spans="1:2" ht="20.100000000000001" customHeight="1" x14ac:dyDescent="0.2">
      <c r="A1" s="96" t="s">
        <v>240</v>
      </c>
      <c r="B1" s="97"/>
    </row>
    <row r="2" spans="1:2" ht="20.100000000000001" customHeight="1" x14ac:dyDescent="0.2">
      <c r="A2" s="104"/>
      <c r="B2" s="105" t="s">
        <v>183</v>
      </c>
    </row>
    <row r="3" spans="1:2" ht="20.100000000000001" customHeight="1" thickBot="1" x14ac:dyDescent="0.25">
      <c r="A3" s="106" t="s">
        <v>184</v>
      </c>
      <c r="B3" s="107" t="s">
        <v>215</v>
      </c>
    </row>
    <row r="4" spans="1:2" ht="20.100000000000001" customHeight="1" x14ac:dyDescent="0.2">
      <c r="A4" s="98" t="s">
        <v>185</v>
      </c>
      <c r="B4" s="99" t="s">
        <v>187</v>
      </c>
    </row>
    <row r="5" spans="1:2" ht="20.100000000000001" customHeight="1" x14ac:dyDescent="0.2">
      <c r="A5" s="98" t="s">
        <v>188</v>
      </c>
      <c r="B5" s="100" t="s">
        <v>189</v>
      </c>
    </row>
    <row r="6" spans="1:2" ht="20.100000000000001" customHeight="1" x14ac:dyDescent="0.2">
      <c r="A6" s="98" t="s">
        <v>190</v>
      </c>
      <c r="B6" s="100" t="s">
        <v>192</v>
      </c>
    </row>
    <row r="7" spans="1:2" ht="20.100000000000001" customHeight="1" thickBot="1" x14ac:dyDescent="0.25">
      <c r="A7" s="101" t="s">
        <v>193</v>
      </c>
      <c r="B7" s="102" t="s">
        <v>192</v>
      </c>
    </row>
    <row r="8" spans="1:2" ht="20.100000000000001" customHeight="1" x14ac:dyDescent="0.2">
      <c r="A8" s="98" t="s">
        <v>194</v>
      </c>
      <c r="B8" s="100" t="s">
        <v>187</v>
      </c>
    </row>
    <row r="9" spans="1:2" ht="20.100000000000001" customHeight="1" x14ac:dyDescent="0.2">
      <c r="A9" s="98" t="s">
        <v>195</v>
      </c>
      <c r="B9" s="100" t="s">
        <v>187</v>
      </c>
    </row>
    <row r="10" spans="1:2" ht="20.100000000000001" customHeight="1" thickBot="1" x14ac:dyDescent="0.25">
      <c r="A10" s="101" t="s">
        <v>196</v>
      </c>
      <c r="B10" s="102" t="s">
        <v>189</v>
      </c>
    </row>
    <row r="11" spans="1:2" ht="20.100000000000001" customHeight="1" x14ac:dyDescent="0.2">
      <c r="A11" s="98" t="s">
        <v>197</v>
      </c>
      <c r="B11" s="100" t="s">
        <v>189</v>
      </c>
    </row>
    <row r="12" spans="1:2" ht="20.100000000000001" customHeight="1" x14ac:dyDescent="0.2">
      <c r="A12" s="98" t="s">
        <v>198</v>
      </c>
      <c r="B12" s="100" t="s">
        <v>199</v>
      </c>
    </row>
    <row r="13" spans="1:2" ht="20.100000000000001" customHeight="1" thickBot="1" x14ac:dyDescent="0.25">
      <c r="A13" s="101" t="s">
        <v>200</v>
      </c>
      <c r="B13" s="102" t="s">
        <v>186</v>
      </c>
    </row>
    <row r="14" spans="1:2" ht="20.100000000000001" customHeight="1" x14ac:dyDescent="0.2">
      <c r="A14" s="98" t="s">
        <v>201</v>
      </c>
      <c r="B14" s="100" t="s">
        <v>186</v>
      </c>
    </row>
    <row r="15" spans="1:2" ht="20.100000000000001" customHeight="1" x14ac:dyDescent="0.2">
      <c r="A15" s="98" t="s">
        <v>202</v>
      </c>
      <c r="B15" s="100" t="s">
        <v>191</v>
      </c>
    </row>
    <row r="16" spans="1:2" ht="20.100000000000001" customHeight="1" x14ac:dyDescent="0.2">
      <c r="A16" s="98" t="s">
        <v>203</v>
      </c>
      <c r="B16" s="100" t="s">
        <v>191</v>
      </c>
    </row>
    <row r="17" spans="1:2" ht="20.100000000000001" customHeight="1" x14ac:dyDescent="0.2">
      <c r="A17" s="98" t="s">
        <v>204</v>
      </c>
      <c r="B17" s="100" t="s">
        <v>205</v>
      </c>
    </row>
    <row r="18" spans="1:2" ht="20.100000000000001" customHeight="1" thickBot="1" x14ac:dyDescent="0.25">
      <c r="A18" s="98" t="s">
        <v>206</v>
      </c>
      <c r="B18" s="100" t="s">
        <v>186</v>
      </c>
    </row>
    <row r="19" spans="1:2" ht="20.100000000000001" customHeight="1" x14ac:dyDescent="0.2">
      <c r="A19" s="103" t="s">
        <v>207</v>
      </c>
      <c r="B19" s="99" t="s">
        <v>191</v>
      </c>
    </row>
    <row r="20" spans="1:2" ht="20.100000000000001" customHeight="1" thickBot="1" x14ac:dyDescent="0.25">
      <c r="A20" s="101" t="s">
        <v>208</v>
      </c>
      <c r="B20" s="102" t="s">
        <v>209</v>
      </c>
    </row>
    <row r="21" spans="1:2" ht="20.100000000000001" customHeight="1" x14ac:dyDescent="0.2">
      <c r="A21" s="98" t="s">
        <v>210</v>
      </c>
      <c r="B21" s="100" t="s">
        <v>199</v>
      </c>
    </row>
    <row r="22" spans="1:2" ht="20.100000000000001" customHeight="1" x14ac:dyDescent="0.2">
      <c r="A22" s="98" t="s">
        <v>211</v>
      </c>
      <c r="B22" s="100" t="s">
        <v>199</v>
      </c>
    </row>
    <row r="23" spans="1:2" ht="20.100000000000001" customHeight="1" thickBot="1" x14ac:dyDescent="0.25">
      <c r="A23" s="101" t="s">
        <v>212</v>
      </c>
      <c r="B23" s="102" t="s">
        <v>213</v>
      </c>
    </row>
    <row r="24" spans="1:2" ht="20.100000000000001" customHeight="1" thickBot="1" x14ac:dyDescent="0.25">
      <c r="A24" s="101" t="s">
        <v>214</v>
      </c>
      <c r="B24" s="102" t="s">
        <v>192</v>
      </c>
    </row>
    <row r="25" spans="1:2" ht="20.100000000000001" customHeight="1" x14ac:dyDescent="0.2">
      <c r="A25" s="190" t="s">
        <v>216</v>
      </c>
      <c r="B25" s="191"/>
    </row>
    <row r="26" spans="1:2" x14ac:dyDescent="0.2">
      <c r="A26" s="20"/>
    </row>
  </sheetData>
  <mergeCells count="1">
    <mergeCell ref="A25:B25"/>
  </mergeCells>
  <phoneticPr fontId="1" type="noConversion"/>
  <hyperlinks>
    <hyperlink ref="A1" location="Índice!A1" display="(voltar ao índice)"/>
  </hyperlinks>
  <printOptions horizontalCentered="1" verticalCentered="1" gridLines="1"/>
  <pageMargins left="0.39370078740157483" right="0.39370078740157483" top="0.39370078740157483" bottom="0.39370078740157483" header="0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workbookViewId="0">
      <pane ySplit="3" topLeftCell="A7" activePane="bottomLeft" state="frozen"/>
      <selection pane="bottomLeft" activeCell="V36" sqref="V36"/>
    </sheetView>
  </sheetViews>
  <sheetFormatPr defaultRowHeight="12.6" x14ac:dyDescent="0.25"/>
  <cols>
    <col min="1" max="1" width="3.44140625" customWidth="1"/>
    <col min="2" max="2" width="11.5546875" customWidth="1"/>
    <col min="3" max="3" width="3.88671875" bestFit="1" customWidth="1"/>
    <col min="4" max="4" width="6.5546875" bestFit="1" customWidth="1"/>
    <col min="5" max="5" width="8.5546875" bestFit="1" customWidth="1"/>
    <col min="6" max="6" width="6.21875" customWidth="1"/>
    <col min="7" max="7" width="6" customWidth="1"/>
    <col min="8" max="8" width="7" customWidth="1"/>
    <col min="9" max="9" width="6" bestFit="1" customWidth="1"/>
    <col min="10" max="10" width="9.5546875" bestFit="1" customWidth="1"/>
    <col min="11" max="11" width="7.33203125" bestFit="1" customWidth="1"/>
    <col min="12" max="12" width="9.109375" customWidth="1"/>
    <col min="13" max="13" width="8" bestFit="1" customWidth="1"/>
    <col min="14" max="14" width="9" bestFit="1" customWidth="1"/>
    <col min="15" max="15" width="7.88671875" bestFit="1" customWidth="1"/>
    <col min="16" max="16" width="6.5546875" bestFit="1" customWidth="1"/>
    <col min="17" max="17" width="6.6640625" bestFit="1" customWidth="1"/>
    <col min="18" max="18" width="6.33203125" bestFit="1" customWidth="1"/>
    <col min="19" max="19" width="8.6640625" bestFit="1" customWidth="1"/>
    <col min="20" max="20" width="8.33203125" bestFit="1" customWidth="1"/>
  </cols>
  <sheetData>
    <row r="1" spans="1:20" ht="13.2" x14ac:dyDescent="0.25">
      <c r="A1" s="97"/>
      <c r="B1" s="192" t="s">
        <v>412</v>
      </c>
      <c r="C1" s="193"/>
      <c r="D1" s="193"/>
      <c r="E1" s="193"/>
      <c r="F1" s="193"/>
      <c r="G1" s="107"/>
      <c r="H1" s="150"/>
      <c r="I1" s="151"/>
      <c r="J1" s="151" t="s">
        <v>413</v>
      </c>
      <c r="K1" s="151" t="s">
        <v>414</v>
      </c>
      <c r="L1" s="151" t="s">
        <v>415</v>
      </c>
      <c r="M1" s="152" t="s">
        <v>416</v>
      </c>
      <c r="N1" s="152" t="s">
        <v>417</v>
      </c>
      <c r="O1" s="151" t="s">
        <v>418</v>
      </c>
      <c r="P1" s="152" t="s">
        <v>419</v>
      </c>
      <c r="Q1" s="151" t="s">
        <v>420</v>
      </c>
      <c r="R1" s="151" t="s">
        <v>421</v>
      </c>
      <c r="S1" s="151" t="s">
        <v>422</v>
      </c>
      <c r="T1" s="151" t="s">
        <v>423</v>
      </c>
    </row>
    <row r="2" spans="1:20" ht="13.2" x14ac:dyDescent="0.25">
      <c r="A2" s="97"/>
      <c r="B2" s="193"/>
      <c r="C2" s="193"/>
      <c r="D2" s="193"/>
      <c r="E2" s="193"/>
      <c r="F2" s="193"/>
      <c r="G2" s="107"/>
      <c r="H2" s="150"/>
      <c r="I2" s="151" t="s">
        <v>424</v>
      </c>
      <c r="J2" s="151">
        <v>5</v>
      </c>
      <c r="K2" s="151">
        <v>3</v>
      </c>
      <c r="L2" s="153">
        <v>0.1</v>
      </c>
      <c r="M2" s="152">
        <v>0.36</v>
      </c>
      <c r="N2" s="153">
        <v>2E-3</v>
      </c>
      <c r="O2" s="151">
        <v>2.74</v>
      </c>
      <c r="P2" s="152">
        <v>750</v>
      </c>
      <c r="Q2" s="151">
        <v>3000</v>
      </c>
      <c r="R2" s="153">
        <v>0.01</v>
      </c>
      <c r="S2" s="154">
        <v>10</v>
      </c>
      <c r="T2" s="151">
        <v>9.11</v>
      </c>
    </row>
    <row r="3" spans="1:20" x14ac:dyDescent="0.25">
      <c r="A3" s="151"/>
      <c r="B3" s="155"/>
      <c r="C3" s="151"/>
      <c r="D3" s="155"/>
      <c r="E3" s="156"/>
      <c r="F3" s="156"/>
      <c r="G3" s="156"/>
      <c r="H3" s="156"/>
      <c r="I3" s="154" t="s">
        <v>425</v>
      </c>
      <c r="J3" s="154">
        <v>5</v>
      </c>
      <c r="K3" s="154">
        <v>3</v>
      </c>
      <c r="L3" s="157">
        <v>0.1</v>
      </c>
      <c r="M3" s="158">
        <v>0.36</v>
      </c>
      <c r="N3" s="157">
        <v>2E-3</v>
      </c>
      <c r="O3" s="154">
        <v>2.74</v>
      </c>
      <c r="P3" s="158">
        <v>750</v>
      </c>
      <c r="Q3" s="154">
        <v>3000</v>
      </c>
      <c r="R3" s="157">
        <v>0.01</v>
      </c>
      <c r="S3" s="154">
        <v>10</v>
      </c>
      <c r="T3" s="154">
        <v>9.11</v>
      </c>
    </row>
    <row r="4" spans="1:20" x14ac:dyDescent="0.25">
      <c r="A4" s="159" t="s">
        <v>426</v>
      </c>
      <c r="B4" s="159" t="s">
        <v>427</v>
      </c>
      <c r="C4" s="159" t="s">
        <v>428</v>
      </c>
      <c r="D4" s="159" t="s">
        <v>429</v>
      </c>
      <c r="E4" s="160" t="s">
        <v>430</v>
      </c>
      <c r="F4" s="161" t="s">
        <v>431</v>
      </c>
      <c r="G4" s="160" t="s">
        <v>432</v>
      </c>
      <c r="H4" s="160" t="s">
        <v>433</v>
      </c>
      <c r="I4" s="159" t="s">
        <v>434</v>
      </c>
      <c r="J4" s="159" t="s">
        <v>5</v>
      </c>
      <c r="K4" s="159" t="s">
        <v>435</v>
      </c>
      <c r="L4" s="159" t="s">
        <v>436</v>
      </c>
      <c r="M4" s="162" t="s">
        <v>437</v>
      </c>
      <c r="N4" s="162" t="s">
        <v>438</v>
      </c>
      <c r="O4" s="159" t="s">
        <v>439</v>
      </c>
      <c r="P4" s="162" t="s">
        <v>440</v>
      </c>
      <c r="Q4" s="159" t="s">
        <v>441</v>
      </c>
      <c r="R4" s="159" t="s">
        <v>442</v>
      </c>
      <c r="S4" s="159" t="s">
        <v>443</v>
      </c>
      <c r="T4" s="159" t="s">
        <v>444</v>
      </c>
    </row>
    <row r="5" spans="1:20" x14ac:dyDescent="0.25">
      <c r="A5" s="159"/>
      <c r="B5" s="159"/>
      <c r="C5" s="159" t="s">
        <v>250</v>
      </c>
      <c r="D5" s="159" t="s">
        <v>24</v>
      </c>
      <c r="E5" s="159" t="s">
        <v>24</v>
      </c>
      <c r="F5" s="163" t="s">
        <v>7</v>
      </c>
      <c r="G5" s="159" t="s">
        <v>7</v>
      </c>
      <c r="H5" s="159" t="s">
        <v>445</v>
      </c>
      <c r="I5" s="159" t="s">
        <v>22</v>
      </c>
      <c r="J5" s="159" t="s">
        <v>22</v>
      </c>
      <c r="K5" s="159" t="s">
        <v>22</v>
      </c>
      <c r="L5" s="159" t="s">
        <v>22</v>
      </c>
      <c r="M5" s="159" t="s">
        <v>22</v>
      </c>
      <c r="N5" s="159" t="s">
        <v>22</v>
      </c>
      <c r="O5" s="159" t="s">
        <v>22</v>
      </c>
      <c r="P5" s="159" t="s">
        <v>22</v>
      </c>
      <c r="Q5" s="159" t="s">
        <v>22</v>
      </c>
      <c r="R5" s="159" t="s">
        <v>22</v>
      </c>
      <c r="S5" s="159" t="s">
        <v>22</v>
      </c>
      <c r="T5" s="159" t="s">
        <v>22</v>
      </c>
    </row>
    <row r="6" spans="1:20" x14ac:dyDescent="0.25">
      <c r="A6" s="97">
        <v>1</v>
      </c>
      <c r="B6" s="164" t="s">
        <v>446</v>
      </c>
      <c r="C6" s="97">
        <v>27</v>
      </c>
      <c r="D6" s="97">
        <v>13445</v>
      </c>
      <c r="E6" s="97">
        <v>13445</v>
      </c>
      <c r="F6" s="165">
        <v>10</v>
      </c>
      <c r="G6" s="97">
        <v>10</v>
      </c>
      <c r="H6" s="97">
        <v>500</v>
      </c>
      <c r="I6" s="166">
        <f>(E6*0.9)/(G6*H6)</f>
        <v>2.4201000000000001</v>
      </c>
      <c r="J6" s="166">
        <f>((E6*1.1)/(2*H6))*($J$2/100)</f>
        <v>0.7394750000000001</v>
      </c>
      <c r="K6" s="166">
        <f>((E6*1.1)/(2*H6)*($K$2/100))</f>
        <v>0.44368500000000005</v>
      </c>
      <c r="L6" s="167">
        <f>+I6+J6+K6</f>
        <v>3.6032600000000001</v>
      </c>
      <c r="M6" s="167">
        <f>+C6*$L$2*$M$2</f>
        <v>0.97199999999999998</v>
      </c>
      <c r="N6" s="167">
        <f>+C6*$N$2*$O$2</f>
        <v>0.14796000000000001</v>
      </c>
      <c r="O6" s="97">
        <f>+$P$2/$Q$2</f>
        <v>0.25</v>
      </c>
      <c r="P6" s="167">
        <f>+E6*($R$2/100)</f>
        <v>1.3445</v>
      </c>
      <c r="Q6" s="166">
        <f>+P6*$S$2/100</f>
        <v>0.13445000000000001</v>
      </c>
      <c r="R6" s="97">
        <f>+$T$2</f>
        <v>9.11</v>
      </c>
      <c r="S6" s="167">
        <f>+M6+N6+O6+P6+Q6+R6</f>
        <v>11.958909999999999</v>
      </c>
      <c r="T6" s="167">
        <f>+L6+S6</f>
        <v>15.56217</v>
      </c>
    </row>
    <row r="7" spans="1:20" x14ac:dyDescent="0.25">
      <c r="A7" s="97">
        <v>1</v>
      </c>
      <c r="B7" s="164" t="s">
        <v>446</v>
      </c>
      <c r="C7" s="97">
        <v>35</v>
      </c>
      <c r="D7" s="97">
        <v>16737</v>
      </c>
      <c r="E7" s="168">
        <v>16737</v>
      </c>
      <c r="F7" s="165">
        <v>10</v>
      </c>
      <c r="G7" s="97">
        <v>10</v>
      </c>
      <c r="H7" s="97">
        <v>500</v>
      </c>
      <c r="I7" s="166">
        <f t="shared" ref="I7:I17" si="0">(E7*0.9)/(G7*H7)</f>
        <v>3.0126600000000003</v>
      </c>
      <c r="J7" s="166">
        <f t="shared" ref="J7:J17" si="1">((E7*1.1)/(2*H7))*($J$2/100)</f>
        <v>0.9205350000000001</v>
      </c>
      <c r="K7" s="166">
        <f t="shared" ref="K7:K17" si="2">((E7*1.1)/(2*H7)*($K$2/100))</f>
        <v>0.55232100000000006</v>
      </c>
      <c r="L7" s="167">
        <f t="shared" ref="L7:L17" si="3">+I7+J7+K7</f>
        <v>4.4855160000000005</v>
      </c>
      <c r="M7" s="167">
        <f t="shared" ref="M7:M17" si="4">+C7*$L$2*$M$2</f>
        <v>1.26</v>
      </c>
      <c r="N7" s="167">
        <f t="shared" ref="N7:N17" si="5">+C7*$N$2*$O$2</f>
        <v>0.19180000000000003</v>
      </c>
      <c r="O7" s="97">
        <f t="shared" ref="O7:O17" si="6">+$P$2/$Q$2</f>
        <v>0.25</v>
      </c>
      <c r="P7" s="167">
        <f t="shared" ref="P7:P17" si="7">+E7*($R$2/100)</f>
        <v>1.6737000000000002</v>
      </c>
      <c r="Q7" s="166">
        <f t="shared" ref="Q7:Q17" si="8">+P7*$S$2/100</f>
        <v>0.16737000000000002</v>
      </c>
      <c r="R7" s="97">
        <f t="shared" ref="R7:R17" si="9">+$T$2</f>
        <v>9.11</v>
      </c>
      <c r="S7" s="167">
        <f t="shared" ref="S7:S17" si="10">+M7+N7+O7+P7+Q7+R7</f>
        <v>12.65287</v>
      </c>
      <c r="T7" s="167">
        <f t="shared" ref="T7:T17" si="11">+L7+S7</f>
        <v>17.138386000000001</v>
      </c>
    </row>
    <row r="8" spans="1:20" x14ac:dyDescent="0.25">
      <c r="A8" s="97">
        <v>1</v>
      </c>
      <c r="B8" s="164" t="s">
        <v>446</v>
      </c>
      <c r="C8" s="97">
        <v>45</v>
      </c>
      <c r="D8" s="97">
        <v>20804</v>
      </c>
      <c r="E8" s="168">
        <v>20804</v>
      </c>
      <c r="F8" s="165">
        <v>10</v>
      </c>
      <c r="G8" s="97">
        <v>10</v>
      </c>
      <c r="H8" s="97">
        <v>500</v>
      </c>
      <c r="I8" s="166">
        <f t="shared" si="0"/>
        <v>3.7447200000000005</v>
      </c>
      <c r="J8" s="166">
        <f t="shared" si="1"/>
        <v>1.1442200000000002</v>
      </c>
      <c r="K8" s="166">
        <f t="shared" si="2"/>
        <v>0.68653200000000003</v>
      </c>
      <c r="L8" s="167">
        <f t="shared" si="3"/>
        <v>5.5754720000000004</v>
      </c>
      <c r="M8" s="167">
        <f t="shared" si="4"/>
        <v>1.6199999999999999</v>
      </c>
      <c r="N8" s="167">
        <f t="shared" si="5"/>
        <v>0.24660000000000001</v>
      </c>
      <c r="O8" s="97">
        <f t="shared" si="6"/>
        <v>0.25</v>
      </c>
      <c r="P8" s="167">
        <f t="shared" si="7"/>
        <v>2.0804</v>
      </c>
      <c r="Q8" s="166">
        <f t="shared" si="8"/>
        <v>0.20804000000000003</v>
      </c>
      <c r="R8" s="97">
        <f t="shared" si="9"/>
        <v>9.11</v>
      </c>
      <c r="S8" s="167">
        <f t="shared" si="10"/>
        <v>13.515039999999999</v>
      </c>
      <c r="T8" s="167">
        <f t="shared" si="11"/>
        <v>19.090512</v>
      </c>
    </row>
    <row r="9" spans="1:20" x14ac:dyDescent="0.25">
      <c r="A9" s="97">
        <v>1</v>
      </c>
      <c r="B9" s="164" t="s">
        <v>446</v>
      </c>
      <c r="C9" s="97">
        <v>53</v>
      </c>
      <c r="D9" s="97">
        <v>24096</v>
      </c>
      <c r="E9" s="168">
        <v>24096</v>
      </c>
      <c r="F9" s="165">
        <v>10</v>
      </c>
      <c r="G9" s="97">
        <v>10</v>
      </c>
      <c r="H9" s="97">
        <v>500</v>
      </c>
      <c r="I9" s="166">
        <f t="shared" si="0"/>
        <v>4.3372800000000007</v>
      </c>
      <c r="J9" s="166">
        <f t="shared" si="1"/>
        <v>1.3252800000000002</v>
      </c>
      <c r="K9" s="166">
        <f t="shared" si="2"/>
        <v>0.79516799999999999</v>
      </c>
      <c r="L9" s="167">
        <f t="shared" si="3"/>
        <v>6.4577280000000012</v>
      </c>
      <c r="M9" s="167">
        <f t="shared" si="4"/>
        <v>1.9080000000000001</v>
      </c>
      <c r="N9" s="167">
        <f t="shared" si="5"/>
        <v>0.29044000000000003</v>
      </c>
      <c r="O9" s="97">
        <f t="shared" si="6"/>
        <v>0.25</v>
      </c>
      <c r="P9" s="167">
        <f t="shared" si="7"/>
        <v>2.4096000000000002</v>
      </c>
      <c r="Q9" s="166">
        <f t="shared" si="8"/>
        <v>0.24096000000000004</v>
      </c>
      <c r="R9" s="97">
        <f t="shared" si="9"/>
        <v>9.11</v>
      </c>
      <c r="S9" s="167">
        <f t="shared" si="10"/>
        <v>14.209</v>
      </c>
      <c r="T9" s="167">
        <f t="shared" si="11"/>
        <v>20.666727999999999</v>
      </c>
    </row>
    <row r="10" spans="1:20" x14ac:dyDescent="0.25">
      <c r="A10" s="97">
        <v>1</v>
      </c>
      <c r="B10" s="164" t="s">
        <v>446</v>
      </c>
      <c r="C10" s="97">
        <v>60</v>
      </c>
      <c r="D10" s="97">
        <v>26952</v>
      </c>
      <c r="E10" s="168">
        <v>26952</v>
      </c>
      <c r="F10" s="165">
        <v>10</v>
      </c>
      <c r="G10" s="97">
        <v>10</v>
      </c>
      <c r="H10" s="97">
        <v>500</v>
      </c>
      <c r="I10" s="166">
        <f t="shared" si="0"/>
        <v>4.8513599999999997</v>
      </c>
      <c r="J10" s="166">
        <f t="shared" si="1"/>
        <v>1.4823600000000001</v>
      </c>
      <c r="K10" s="166">
        <f t="shared" si="2"/>
        <v>0.88941599999999998</v>
      </c>
      <c r="L10" s="167">
        <f t="shared" si="3"/>
        <v>7.2231359999999993</v>
      </c>
      <c r="M10" s="167">
        <f t="shared" si="4"/>
        <v>2.16</v>
      </c>
      <c r="N10" s="167">
        <f t="shared" si="5"/>
        <v>0.32880000000000004</v>
      </c>
      <c r="O10" s="97">
        <f t="shared" si="6"/>
        <v>0.25</v>
      </c>
      <c r="P10" s="167">
        <f t="shared" si="7"/>
        <v>2.6952000000000003</v>
      </c>
      <c r="Q10" s="166">
        <f t="shared" si="8"/>
        <v>0.26952000000000004</v>
      </c>
      <c r="R10" s="97">
        <f t="shared" si="9"/>
        <v>9.11</v>
      </c>
      <c r="S10" s="167">
        <f t="shared" si="10"/>
        <v>14.81352</v>
      </c>
      <c r="T10" s="167">
        <f t="shared" si="11"/>
        <v>22.036656000000001</v>
      </c>
    </row>
    <row r="11" spans="1:20" x14ac:dyDescent="0.25">
      <c r="A11" s="97">
        <v>1</v>
      </c>
      <c r="B11" s="164" t="s">
        <v>446</v>
      </c>
      <c r="C11" s="97">
        <v>70</v>
      </c>
      <c r="D11" s="97">
        <v>31051</v>
      </c>
      <c r="E11" s="168">
        <v>31051</v>
      </c>
      <c r="F11" s="165">
        <v>10</v>
      </c>
      <c r="G11" s="97">
        <v>10</v>
      </c>
      <c r="H11" s="97">
        <v>500</v>
      </c>
      <c r="I11" s="166">
        <f t="shared" si="0"/>
        <v>5.5891800000000007</v>
      </c>
      <c r="J11" s="166">
        <f t="shared" si="1"/>
        <v>1.7078050000000005</v>
      </c>
      <c r="K11" s="166">
        <f t="shared" si="2"/>
        <v>1.0246830000000002</v>
      </c>
      <c r="L11" s="167">
        <f t="shared" si="3"/>
        <v>8.3216680000000007</v>
      </c>
      <c r="M11" s="167">
        <f t="shared" si="4"/>
        <v>2.52</v>
      </c>
      <c r="N11" s="167">
        <f t="shared" si="5"/>
        <v>0.38360000000000005</v>
      </c>
      <c r="O11" s="97">
        <f t="shared" si="6"/>
        <v>0.25</v>
      </c>
      <c r="P11" s="167">
        <f t="shared" si="7"/>
        <v>3.1051000000000002</v>
      </c>
      <c r="Q11" s="166">
        <f t="shared" si="8"/>
        <v>0.31051000000000001</v>
      </c>
      <c r="R11" s="97">
        <f t="shared" si="9"/>
        <v>9.11</v>
      </c>
      <c r="S11" s="167">
        <f t="shared" si="10"/>
        <v>15.679209999999999</v>
      </c>
      <c r="T11" s="167">
        <f t="shared" si="11"/>
        <v>24.000878</v>
      </c>
    </row>
    <row r="12" spans="1:20" x14ac:dyDescent="0.25">
      <c r="A12" s="97">
        <v>1</v>
      </c>
      <c r="B12" s="164" t="s">
        <v>446</v>
      </c>
      <c r="C12" s="97">
        <v>80</v>
      </c>
      <c r="D12" s="97">
        <v>35088</v>
      </c>
      <c r="E12" s="168">
        <v>35088</v>
      </c>
      <c r="F12" s="165">
        <v>10</v>
      </c>
      <c r="G12" s="97">
        <v>10</v>
      </c>
      <c r="H12" s="97">
        <v>500</v>
      </c>
      <c r="I12" s="166">
        <f t="shared" si="0"/>
        <v>6.3158400000000006</v>
      </c>
      <c r="J12" s="166">
        <f t="shared" si="1"/>
        <v>1.9298400000000002</v>
      </c>
      <c r="K12" s="166">
        <f t="shared" si="2"/>
        <v>1.157904</v>
      </c>
      <c r="L12" s="167">
        <f t="shared" si="3"/>
        <v>9.4035840000000004</v>
      </c>
      <c r="M12" s="167">
        <f t="shared" si="4"/>
        <v>2.88</v>
      </c>
      <c r="N12" s="167">
        <f t="shared" si="5"/>
        <v>0.43840000000000007</v>
      </c>
      <c r="O12" s="97">
        <f t="shared" si="6"/>
        <v>0.25</v>
      </c>
      <c r="P12" s="167">
        <f t="shared" si="7"/>
        <v>3.5088000000000004</v>
      </c>
      <c r="Q12" s="166">
        <f t="shared" si="8"/>
        <v>0.35088000000000003</v>
      </c>
      <c r="R12" s="97">
        <f t="shared" si="9"/>
        <v>9.11</v>
      </c>
      <c r="S12" s="167">
        <f t="shared" si="10"/>
        <v>16.538080000000001</v>
      </c>
      <c r="T12" s="167">
        <f t="shared" si="11"/>
        <v>25.941664000000003</v>
      </c>
    </row>
    <row r="13" spans="1:20" x14ac:dyDescent="0.25">
      <c r="A13" s="97">
        <v>1</v>
      </c>
      <c r="B13" s="164" t="s">
        <v>446</v>
      </c>
      <c r="C13" s="97">
        <v>90</v>
      </c>
      <c r="D13" s="97">
        <v>29124</v>
      </c>
      <c r="E13" s="168">
        <v>29124</v>
      </c>
      <c r="F13" s="165">
        <v>10</v>
      </c>
      <c r="G13" s="97">
        <v>10</v>
      </c>
      <c r="H13" s="97">
        <v>500</v>
      </c>
      <c r="I13" s="166">
        <f t="shared" si="0"/>
        <v>5.2423200000000003</v>
      </c>
      <c r="J13" s="166">
        <f t="shared" si="1"/>
        <v>1.60182</v>
      </c>
      <c r="K13" s="166">
        <f t="shared" si="2"/>
        <v>0.96109199999999995</v>
      </c>
      <c r="L13" s="167">
        <f t="shared" si="3"/>
        <v>7.8052320000000002</v>
      </c>
      <c r="M13" s="167">
        <f t="shared" si="4"/>
        <v>3.2399999999999998</v>
      </c>
      <c r="N13" s="167">
        <f t="shared" si="5"/>
        <v>0.49320000000000003</v>
      </c>
      <c r="O13" s="97">
        <f t="shared" si="6"/>
        <v>0.25</v>
      </c>
      <c r="P13" s="167">
        <f t="shared" si="7"/>
        <v>2.9124000000000003</v>
      </c>
      <c r="Q13" s="166">
        <f t="shared" si="8"/>
        <v>0.29124</v>
      </c>
      <c r="R13" s="97">
        <f t="shared" si="9"/>
        <v>9.11</v>
      </c>
      <c r="S13" s="167">
        <f t="shared" si="10"/>
        <v>16.29684</v>
      </c>
      <c r="T13" s="167">
        <f t="shared" si="11"/>
        <v>24.102072</v>
      </c>
    </row>
    <row r="14" spans="1:20" x14ac:dyDescent="0.25">
      <c r="A14" s="97">
        <v>1</v>
      </c>
      <c r="B14" s="164" t="s">
        <v>446</v>
      </c>
      <c r="C14" s="97">
        <v>105</v>
      </c>
      <c r="D14" s="97">
        <v>45335</v>
      </c>
      <c r="E14" s="168">
        <v>45335</v>
      </c>
      <c r="F14" s="165">
        <v>10</v>
      </c>
      <c r="G14" s="97">
        <v>10</v>
      </c>
      <c r="H14" s="97">
        <v>500</v>
      </c>
      <c r="I14" s="166">
        <f t="shared" si="0"/>
        <v>8.1602999999999994</v>
      </c>
      <c r="J14" s="166">
        <f t="shared" si="1"/>
        <v>2.4934250000000002</v>
      </c>
      <c r="K14" s="166">
        <f t="shared" si="2"/>
        <v>1.4960550000000001</v>
      </c>
      <c r="L14" s="167">
        <f t="shared" si="3"/>
        <v>12.14978</v>
      </c>
      <c r="M14" s="167">
        <f t="shared" si="4"/>
        <v>3.78</v>
      </c>
      <c r="N14" s="167">
        <f t="shared" si="5"/>
        <v>0.57540000000000002</v>
      </c>
      <c r="O14" s="97">
        <f t="shared" si="6"/>
        <v>0.25</v>
      </c>
      <c r="P14" s="167">
        <f t="shared" si="7"/>
        <v>4.5335000000000001</v>
      </c>
      <c r="Q14" s="166">
        <f t="shared" si="8"/>
        <v>0.45335000000000003</v>
      </c>
      <c r="R14" s="97">
        <f t="shared" si="9"/>
        <v>9.11</v>
      </c>
      <c r="S14" s="167">
        <f t="shared" si="10"/>
        <v>18.702249999999999</v>
      </c>
      <c r="T14" s="167">
        <f t="shared" si="11"/>
        <v>30.852029999999999</v>
      </c>
    </row>
    <row r="15" spans="1:20" x14ac:dyDescent="0.25">
      <c r="A15" s="97">
        <v>1</v>
      </c>
      <c r="B15" s="164" t="s">
        <v>446</v>
      </c>
      <c r="C15" s="97">
        <v>120</v>
      </c>
      <c r="D15" s="97">
        <v>51545</v>
      </c>
      <c r="E15" s="168">
        <v>51545</v>
      </c>
      <c r="F15" s="165">
        <v>10</v>
      </c>
      <c r="G15" s="97">
        <v>10</v>
      </c>
      <c r="H15" s="97">
        <v>500</v>
      </c>
      <c r="I15" s="166">
        <f t="shared" si="0"/>
        <v>9.2781000000000002</v>
      </c>
      <c r="J15" s="166">
        <f t="shared" si="1"/>
        <v>2.8349750000000005</v>
      </c>
      <c r="K15" s="166">
        <f t="shared" si="2"/>
        <v>1.7009850000000002</v>
      </c>
      <c r="L15" s="167">
        <f t="shared" si="3"/>
        <v>13.814060000000001</v>
      </c>
      <c r="M15" s="167">
        <f t="shared" si="4"/>
        <v>4.32</v>
      </c>
      <c r="N15" s="167">
        <f t="shared" si="5"/>
        <v>0.65760000000000007</v>
      </c>
      <c r="O15" s="97">
        <f t="shared" si="6"/>
        <v>0.25</v>
      </c>
      <c r="P15" s="167">
        <f t="shared" si="7"/>
        <v>5.1545000000000005</v>
      </c>
      <c r="Q15" s="166">
        <f t="shared" si="8"/>
        <v>0.51544999999999996</v>
      </c>
      <c r="R15" s="97">
        <f t="shared" si="9"/>
        <v>9.11</v>
      </c>
      <c r="S15" s="167">
        <f t="shared" si="10"/>
        <v>20.007550000000002</v>
      </c>
      <c r="T15" s="167">
        <f t="shared" si="11"/>
        <v>33.821610000000007</v>
      </c>
    </row>
    <row r="16" spans="1:20" x14ac:dyDescent="0.25">
      <c r="A16" s="97">
        <v>1</v>
      </c>
      <c r="B16" s="164" t="s">
        <v>446</v>
      </c>
      <c r="C16" s="97">
        <v>140</v>
      </c>
      <c r="D16" s="97">
        <v>59618</v>
      </c>
      <c r="E16" s="168">
        <v>59618</v>
      </c>
      <c r="F16" s="165">
        <v>10</v>
      </c>
      <c r="G16" s="97">
        <v>10</v>
      </c>
      <c r="H16" s="97">
        <v>500</v>
      </c>
      <c r="I16" s="166">
        <f t="shared" si="0"/>
        <v>10.731240000000001</v>
      </c>
      <c r="J16" s="166">
        <f t="shared" si="1"/>
        <v>3.2789900000000003</v>
      </c>
      <c r="K16" s="166">
        <f t="shared" si="2"/>
        <v>1.9673940000000001</v>
      </c>
      <c r="L16" s="167">
        <f t="shared" si="3"/>
        <v>15.977624000000002</v>
      </c>
      <c r="M16" s="167">
        <f t="shared" si="4"/>
        <v>5.04</v>
      </c>
      <c r="N16" s="167">
        <f t="shared" si="5"/>
        <v>0.7672000000000001</v>
      </c>
      <c r="O16" s="97">
        <f t="shared" si="6"/>
        <v>0.25</v>
      </c>
      <c r="P16" s="167">
        <f t="shared" si="7"/>
        <v>5.9618000000000002</v>
      </c>
      <c r="Q16" s="166">
        <f t="shared" si="8"/>
        <v>0.59618000000000004</v>
      </c>
      <c r="R16" s="97">
        <f t="shared" si="9"/>
        <v>9.11</v>
      </c>
      <c r="S16" s="167">
        <f t="shared" si="10"/>
        <v>21.725180000000002</v>
      </c>
      <c r="T16" s="167">
        <f t="shared" si="11"/>
        <v>37.702804</v>
      </c>
    </row>
    <row r="17" spans="1:20" x14ac:dyDescent="0.25">
      <c r="A17" s="97">
        <v>1</v>
      </c>
      <c r="B17" s="164" t="s">
        <v>446</v>
      </c>
      <c r="C17" s="97">
        <v>160</v>
      </c>
      <c r="D17" s="97">
        <v>68002</v>
      </c>
      <c r="E17" s="168">
        <v>68002</v>
      </c>
      <c r="F17" s="165">
        <v>10</v>
      </c>
      <c r="G17" s="97">
        <v>10</v>
      </c>
      <c r="H17" s="97">
        <v>500</v>
      </c>
      <c r="I17" s="166">
        <f t="shared" si="0"/>
        <v>12.240360000000001</v>
      </c>
      <c r="J17" s="166">
        <f t="shared" si="1"/>
        <v>3.7401100000000009</v>
      </c>
      <c r="K17" s="166">
        <f t="shared" si="2"/>
        <v>2.2440660000000001</v>
      </c>
      <c r="L17" s="167">
        <f t="shared" si="3"/>
        <v>18.224536000000001</v>
      </c>
      <c r="M17" s="167">
        <f t="shared" si="4"/>
        <v>5.76</v>
      </c>
      <c r="N17" s="167">
        <f t="shared" si="5"/>
        <v>0.87680000000000013</v>
      </c>
      <c r="O17" s="97">
        <f t="shared" si="6"/>
        <v>0.25</v>
      </c>
      <c r="P17" s="167">
        <f t="shared" si="7"/>
        <v>6.8002000000000002</v>
      </c>
      <c r="Q17" s="166">
        <f t="shared" si="8"/>
        <v>0.68002000000000007</v>
      </c>
      <c r="R17" s="97">
        <f t="shared" si="9"/>
        <v>9.11</v>
      </c>
      <c r="S17" s="167">
        <f t="shared" si="10"/>
        <v>23.477020000000003</v>
      </c>
      <c r="T17" s="167">
        <f t="shared" si="11"/>
        <v>41.701556000000004</v>
      </c>
    </row>
    <row r="18" spans="1:20" x14ac:dyDescent="0.25">
      <c r="A18" s="97"/>
      <c r="B18" s="164"/>
      <c r="C18" s="97"/>
      <c r="D18" s="97"/>
      <c r="E18" s="168"/>
      <c r="F18" s="169"/>
      <c r="G18" s="168"/>
      <c r="H18" s="168"/>
      <c r="I18" s="170"/>
      <c r="J18" s="170"/>
      <c r="K18" s="170"/>
      <c r="L18" s="97"/>
      <c r="M18" s="167"/>
      <c r="N18" s="167"/>
      <c r="O18" s="170"/>
      <c r="P18" s="167"/>
      <c r="Q18" s="170"/>
      <c r="R18" s="170"/>
      <c r="S18" s="170"/>
      <c r="T18" s="97"/>
    </row>
    <row r="19" spans="1:20" x14ac:dyDescent="0.25">
      <c r="A19" s="97">
        <v>2</v>
      </c>
      <c r="B19" s="164" t="s">
        <v>447</v>
      </c>
      <c r="C19" s="97">
        <v>18</v>
      </c>
      <c r="D19" s="97">
        <v>11471</v>
      </c>
      <c r="E19" s="168">
        <v>11471</v>
      </c>
      <c r="F19" s="165">
        <v>10</v>
      </c>
      <c r="G19" s="97">
        <v>10</v>
      </c>
      <c r="H19" s="97">
        <v>500</v>
      </c>
      <c r="I19" s="166">
        <f t="shared" ref="I19:I36" si="12">(E19*0.9)/(G19*H19)</f>
        <v>2.0647799999999998</v>
      </c>
      <c r="J19" s="166">
        <f t="shared" ref="J19:J36" si="13">((E19*1.1)/(2*H19))*($J$2/100)</f>
        <v>0.63090500000000005</v>
      </c>
      <c r="K19" s="166">
        <f t="shared" ref="K19:K36" si="14">((E19*1.1)/(2*H19)*($K$2/100))</f>
        <v>0.37854299999999996</v>
      </c>
      <c r="L19" s="167">
        <f t="shared" ref="L19:L36" si="15">+I19+J19+K19</f>
        <v>3.0742280000000002</v>
      </c>
      <c r="M19" s="167">
        <f t="shared" ref="M19:M36" si="16">+C19*$L$2*$M$2</f>
        <v>0.64800000000000002</v>
      </c>
      <c r="N19" s="167">
        <f t="shared" ref="N19:N36" si="17">+C19*$N$2*$O$2</f>
        <v>9.8640000000000019E-2</v>
      </c>
      <c r="O19" s="97">
        <f t="shared" ref="O19:O36" si="18">+$P$2/$Q$2</f>
        <v>0.25</v>
      </c>
      <c r="P19" s="167">
        <f t="shared" ref="P19:P36" si="19">+E19*($R$2/100)</f>
        <v>1.1471</v>
      </c>
      <c r="Q19" s="166">
        <f t="shared" ref="Q19:Q36" si="20">+P19*$S$2/100</f>
        <v>0.11471000000000001</v>
      </c>
      <c r="R19" s="97">
        <f t="shared" ref="R19:R36" si="21">+$T$2</f>
        <v>9.11</v>
      </c>
      <c r="S19" s="167">
        <f t="shared" ref="S19:S36" si="22">+M19+N19+O19+P19+Q19+R19</f>
        <v>11.368449999999999</v>
      </c>
      <c r="T19" s="167">
        <f t="shared" ref="T19:T36" si="23">+L19+S19</f>
        <v>14.442677999999999</v>
      </c>
    </row>
    <row r="20" spans="1:20" x14ac:dyDescent="0.25">
      <c r="A20" s="97">
        <v>2</v>
      </c>
      <c r="B20" s="164" t="s">
        <v>447</v>
      </c>
      <c r="C20" s="97">
        <v>27</v>
      </c>
      <c r="D20" s="97">
        <v>15818</v>
      </c>
      <c r="E20" s="168">
        <v>15818</v>
      </c>
      <c r="F20" s="165">
        <v>10</v>
      </c>
      <c r="G20" s="97">
        <v>10</v>
      </c>
      <c r="H20" s="97">
        <v>500</v>
      </c>
      <c r="I20" s="166">
        <f t="shared" si="12"/>
        <v>2.8472400000000002</v>
      </c>
      <c r="J20" s="166">
        <f t="shared" si="13"/>
        <v>0.86999000000000015</v>
      </c>
      <c r="K20" s="166">
        <f t="shared" si="14"/>
        <v>0.52199400000000007</v>
      </c>
      <c r="L20" s="167">
        <f t="shared" si="15"/>
        <v>4.2392240000000001</v>
      </c>
      <c r="M20" s="167">
        <f t="shared" si="16"/>
        <v>0.97199999999999998</v>
      </c>
      <c r="N20" s="167">
        <f t="shared" si="17"/>
        <v>0.14796000000000001</v>
      </c>
      <c r="O20" s="97">
        <f t="shared" si="18"/>
        <v>0.25</v>
      </c>
      <c r="P20" s="167">
        <f t="shared" si="19"/>
        <v>1.5818000000000001</v>
      </c>
      <c r="Q20" s="166">
        <f t="shared" si="20"/>
        <v>0.15818000000000002</v>
      </c>
      <c r="R20" s="97">
        <f t="shared" si="21"/>
        <v>9.11</v>
      </c>
      <c r="S20" s="167">
        <f t="shared" si="22"/>
        <v>12.219939999999999</v>
      </c>
      <c r="T20" s="167">
        <f t="shared" si="23"/>
        <v>16.459164000000001</v>
      </c>
    </row>
    <row r="21" spans="1:20" x14ac:dyDescent="0.25">
      <c r="A21" s="97">
        <v>2</v>
      </c>
      <c r="B21" s="164" t="s">
        <v>447</v>
      </c>
      <c r="C21" s="97">
        <v>35</v>
      </c>
      <c r="D21" s="97">
        <v>19690</v>
      </c>
      <c r="E21" s="168">
        <v>19690</v>
      </c>
      <c r="F21" s="165">
        <v>10</v>
      </c>
      <c r="G21" s="97">
        <v>10</v>
      </c>
      <c r="H21" s="97">
        <v>500</v>
      </c>
      <c r="I21" s="166">
        <f t="shared" si="12"/>
        <v>3.5442</v>
      </c>
      <c r="J21" s="166">
        <f t="shared" si="13"/>
        <v>1.0829500000000001</v>
      </c>
      <c r="K21" s="166">
        <f t="shared" si="14"/>
        <v>0.64976999999999996</v>
      </c>
      <c r="L21" s="167">
        <f t="shared" si="15"/>
        <v>5.2769200000000005</v>
      </c>
      <c r="M21" s="167">
        <f t="shared" si="16"/>
        <v>1.26</v>
      </c>
      <c r="N21" s="167">
        <f t="shared" si="17"/>
        <v>0.19180000000000003</v>
      </c>
      <c r="O21" s="97">
        <f t="shared" si="18"/>
        <v>0.25</v>
      </c>
      <c r="P21" s="167">
        <f t="shared" si="19"/>
        <v>1.9690000000000001</v>
      </c>
      <c r="Q21" s="166">
        <f t="shared" si="20"/>
        <v>0.19690000000000002</v>
      </c>
      <c r="R21" s="97">
        <f t="shared" si="21"/>
        <v>9.11</v>
      </c>
      <c r="S21" s="167">
        <f t="shared" si="22"/>
        <v>12.977699999999999</v>
      </c>
      <c r="T21" s="167">
        <f t="shared" si="23"/>
        <v>18.254619999999999</v>
      </c>
    </row>
    <row r="22" spans="1:20" x14ac:dyDescent="0.25">
      <c r="A22" s="97">
        <v>2</v>
      </c>
      <c r="B22" s="164" t="s">
        <v>447</v>
      </c>
      <c r="C22" s="97">
        <v>45</v>
      </c>
      <c r="D22" s="97">
        <v>24476</v>
      </c>
      <c r="E22" s="168">
        <v>24476</v>
      </c>
      <c r="F22" s="165">
        <v>10</v>
      </c>
      <c r="G22" s="97">
        <v>10</v>
      </c>
      <c r="H22" s="97">
        <v>500</v>
      </c>
      <c r="I22" s="166">
        <f t="shared" si="12"/>
        <v>4.4056800000000003</v>
      </c>
      <c r="J22" s="166">
        <f t="shared" si="13"/>
        <v>1.3461800000000002</v>
      </c>
      <c r="K22" s="166">
        <f t="shared" si="14"/>
        <v>0.80770799999999998</v>
      </c>
      <c r="L22" s="167">
        <f t="shared" si="15"/>
        <v>6.5595680000000005</v>
      </c>
      <c r="M22" s="167">
        <f t="shared" si="16"/>
        <v>1.6199999999999999</v>
      </c>
      <c r="N22" s="167">
        <f t="shared" si="17"/>
        <v>0.24660000000000001</v>
      </c>
      <c r="O22" s="97">
        <f t="shared" si="18"/>
        <v>0.25</v>
      </c>
      <c r="P22" s="167">
        <f t="shared" si="19"/>
        <v>2.4476</v>
      </c>
      <c r="Q22" s="166">
        <f t="shared" si="20"/>
        <v>0.24475999999999998</v>
      </c>
      <c r="R22" s="97">
        <f t="shared" si="21"/>
        <v>9.11</v>
      </c>
      <c r="S22" s="167">
        <f t="shared" si="22"/>
        <v>13.918959999999998</v>
      </c>
      <c r="T22" s="167">
        <f t="shared" si="23"/>
        <v>20.478527999999997</v>
      </c>
    </row>
    <row r="23" spans="1:20" x14ac:dyDescent="0.25">
      <c r="A23" s="97">
        <v>2</v>
      </c>
      <c r="B23" s="164" t="s">
        <v>447</v>
      </c>
      <c r="C23" s="97">
        <v>53</v>
      </c>
      <c r="D23" s="97">
        <v>28348</v>
      </c>
      <c r="E23" s="168">
        <v>28348</v>
      </c>
      <c r="F23" s="165">
        <v>10</v>
      </c>
      <c r="G23" s="97">
        <v>10</v>
      </c>
      <c r="H23" s="97">
        <v>500</v>
      </c>
      <c r="I23" s="166">
        <f t="shared" si="12"/>
        <v>5.1026400000000001</v>
      </c>
      <c r="J23" s="166">
        <f t="shared" si="13"/>
        <v>1.5591400000000002</v>
      </c>
      <c r="K23" s="166">
        <f t="shared" si="14"/>
        <v>0.93548400000000009</v>
      </c>
      <c r="L23" s="167">
        <f t="shared" si="15"/>
        <v>7.597264</v>
      </c>
      <c r="M23" s="167">
        <f t="shared" si="16"/>
        <v>1.9080000000000001</v>
      </c>
      <c r="N23" s="167">
        <f t="shared" si="17"/>
        <v>0.29044000000000003</v>
      </c>
      <c r="O23" s="97">
        <f t="shared" si="18"/>
        <v>0.25</v>
      </c>
      <c r="P23" s="167">
        <f t="shared" si="19"/>
        <v>2.8348</v>
      </c>
      <c r="Q23" s="166">
        <f t="shared" si="20"/>
        <v>0.28348000000000001</v>
      </c>
      <c r="R23" s="97">
        <f t="shared" si="21"/>
        <v>9.11</v>
      </c>
      <c r="S23" s="167">
        <f t="shared" si="22"/>
        <v>14.67672</v>
      </c>
      <c r="T23" s="167">
        <f t="shared" si="23"/>
        <v>22.273983999999999</v>
      </c>
    </row>
    <row r="24" spans="1:20" x14ac:dyDescent="0.25">
      <c r="A24" s="97">
        <v>2</v>
      </c>
      <c r="B24" s="164" t="s">
        <v>447</v>
      </c>
      <c r="C24" s="97">
        <v>60</v>
      </c>
      <c r="D24" s="97">
        <v>31709</v>
      </c>
      <c r="E24" s="168">
        <v>31709</v>
      </c>
      <c r="F24" s="165">
        <v>10</v>
      </c>
      <c r="G24" s="97">
        <v>10</v>
      </c>
      <c r="H24" s="97">
        <v>500</v>
      </c>
      <c r="I24" s="166">
        <f t="shared" si="12"/>
        <v>5.7076200000000004</v>
      </c>
      <c r="J24" s="166">
        <f t="shared" si="13"/>
        <v>1.743995</v>
      </c>
      <c r="K24" s="166">
        <f t="shared" si="14"/>
        <v>1.046397</v>
      </c>
      <c r="L24" s="167">
        <f t="shared" si="15"/>
        <v>8.498012000000001</v>
      </c>
      <c r="M24" s="167">
        <f t="shared" si="16"/>
        <v>2.16</v>
      </c>
      <c r="N24" s="167">
        <f t="shared" si="17"/>
        <v>0.32880000000000004</v>
      </c>
      <c r="O24" s="97">
        <f t="shared" si="18"/>
        <v>0.25</v>
      </c>
      <c r="P24" s="167">
        <f t="shared" si="19"/>
        <v>3.1709000000000001</v>
      </c>
      <c r="Q24" s="166">
        <f t="shared" si="20"/>
        <v>0.31708999999999998</v>
      </c>
      <c r="R24" s="97">
        <f t="shared" si="21"/>
        <v>9.11</v>
      </c>
      <c r="S24" s="167">
        <f t="shared" si="22"/>
        <v>15.336790000000001</v>
      </c>
      <c r="T24" s="167">
        <f t="shared" si="23"/>
        <v>23.834802000000003</v>
      </c>
    </row>
    <row r="25" spans="1:20" x14ac:dyDescent="0.25">
      <c r="A25" s="97">
        <v>2</v>
      </c>
      <c r="B25" s="164" t="s">
        <v>447</v>
      </c>
      <c r="C25" s="97">
        <v>70</v>
      </c>
      <c r="D25" s="97">
        <v>36531</v>
      </c>
      <c r="E25" s="168">
        <v>36531</v>
      </c>
      <c r="F25" s="165">
        <v>10</v>
      </c>
      <c r="G25" s="97">
        <v>10</v>
      </c>
      <c r="H25" s="97">
        <v>500</v>
      </c>
      <c r="I25" s="166">
        <f t="shared" si="12"/>
        <v>6.5755800000000004</v>
      </c>
      <c r="J25" s="166">
        <f t="shared" si="13"/>
        <v>2.0092050000000006</v>
      </c>
      <c r="K25" s="166">
        <f t="shared" si="14"/>
        <v>1.2055230000000001</v>
      </c>
      <c r="L25" s="167">
        <f t="shared" si="15"/>
        <v>9.7903079999999996</v>
      </c>
      <c r="M25" s="167">
        <f t="shared" si="16"/>
        <v>2.52</v>
      </c>
      <c r="N25" s="167">
        <f t="shared" si="17"/>
        <v>0.38360000000000005</v>
      </c>
      <c r="O25" s="97">
        <f t="shared" si="18"/>
        <v>0.25</v>
      </c>
      <c r="P25" s="167">
        <f t="shared" si="19"/>
        <v>3.6531000000000002</v>
      </c>
      <c r="Q25" s="166">
        <f t="shared" si="20"/>
        <v>0.36531000000000008</v>
      </c>
      <c r="R25" s="97">
        <f t="shared" si="21"/>
        <v>9.11</v>
      </c>
      <c r="S25" s="167">
        <f t="shared" si="22"/>
        <v>16.28201</v>
      </c>
      <c r="T25" s="167">
        <f t="shared" si="23"/>
        <v>26.072317999999999</v>
      </c>
    </row>
    <row r="26" spans="1:20" x14ac:dyDescent="0.25">
      <c r="A26" s="97">
        <v>2</v>
      </c>
      <c r="B26" s="164" t="s">
        <v>447</v>
      </c>
      <c r="C26" s="97">
        <v>80</v>
      </c>
      <c r="D26" s="97">
        <v>41280</v>
      </c>
      <c r="E26" s="168">
        <v>41280</v>
      </c>
      <c r="F26" s="165">
        <v>10</v>
      </c>
      <c r="G26" s="97">
        <v>10</v>
      </c>
      <c r="H26" s="97">
        <v>500</v>
      </c>
      <c r="I26" s="166">
        <f t="shared" si="12"/>
        <v>7.4303999999999997</v>
      </c>
      <c r="J26" s="166">
        <f t="shared" si="13"/>
        <v>2.2704000000000004</v>
      </c>
      <c r="K26" s="166">
        <f t="shared" si="14"/>
        <v>1.3622400000000001</v>
      </c>
      <c r="L26" s="167">
        <f t="shared" si="15"/>
        <v>11.063040000000001</v>
      </c>
      <c r="M26" s="167">
        <f t="shared" si="16"/>
        <v>2.88</v>
      </c>
      <c r="N26" s="167">
        <f t="shared" si="17"/>
        <v>0.43840000000000007</v>
      </c>
      <c r="O26" s="97">
        <f t="shared" si="18"/>
        <v>0.25</v>
      </c>
      <c r="P26" s="167">
        <f t="shared" si="19"/>
        <v>4.1280000000000001</v>
      </c>
      <c r="Q26" s="166">
        <f t="shared" si="20"/>
        <v>0.4128</v>
      </c>
      <c r="R26" s="97">
        <f t="shared" si="21"/>
        <v>9.11</v>
      </c>
      <c r="S26" s="167">
        <f t="shared" si="22"/>
        <v>17.219200000000001</v>
      </c>
      <c r="T26" s="167">
        <f t="shared" si="23"/>
        <v>28.282240000000002</v>
      </c>
    </row>
    <row r="27" spans="1:20" x14ac:dyDescent="0.25">
      <c r="A27" s="97">
        <v>2</v>
      </c>
      <c r="B27" s="164" t="s">
        <v>447</v>
      </c>
      <c r="C27" s="97">
        <v>90</v>
      </c>
      <c r="D27" s="97">
        <v>46029</v>
      </c>
      <c r="E27" s="168">
        <v>46029</v>
      </c>
      <c r="F27" s="165">
        <v>10</v>
      </c>
      <c r="G27" s="97">
        <v>10</v>
      </c>
      <c r="H27" s="97">
        <v>500</v>
      </c>
      <c r="I27" s="166">
        <f t="shared" si="12"/>
        <v>8.2852199999999989</v>
      </c>
      <c r="J27" s="166">
        <f t="shared" si="13"/>
        <v>2.5315950000000003</v>
      </c>
      <c r="K27" s="166">
        <f t="shared" si="14"/>
        <v>1.5189569999999999</v>
      </c>
      <c r="L27" s="167">
        <f t="shared" si="15"/>
        <v>12.335771999999999</v>
      </c>
      <c r="M27" s="167">
        <f t="shared" si="16"/>
        <v>3.2399999999999998</v>
      </c>
      <c r="N27" s="167">
        <f t="shared" si="17"/>
        <v>0.49320000000000003</v>
      </c>
      <c r="O27" s="97">
        <f t="shared" si="18"/>
        <v>0.25</v>
      </c>
      <c r="P27" s="167">
        <f t="shared" si="19"/>
        <v>4.6029</v>
      </c>
      <c r="Q27" s="166">
        <f t="shared" si="20"/>
        <v>0.46028999999999998</v>
      </c>
      <c r="R27" s="97">
        <f t="shared" si="21"/>
        <v>9.11</v>
      </c>
      <c r="S27" s="167">
        <f t="shared" si="22"/>
        <v>18.156390000000002</v>
      </c>
      <c r="T27" s="167">
        <f t="shared" si="23"/>
        <v>30.492162</v>
      </c>
    </row>
    <row r="28" spans="1:20" x14ac:dyDescent="0.25">
      <c r="A28" s="97">
        <v>2</v>
      </c>
      <c r="B28" s="164" t="s">
        <v>447</v>
      </c>
      <c r="C28" s="97">
        <v>105</v>
      </c>
      <c r="D28" s="97">
        <v>53335</v>
      </c>
      <c r="E28" s="168">
        <v>53335</v>
      </c>
      <c r="F28" s="165">
        <v>10</v>
      </c>
      <c r="G28" s="97">
        <v>10</v>
      </c>
      <c r="H28" s="97">
        <v>500</v>
      </c>
      <c r="I28" s="166">
        <f t="shared" si="12"/>
        <v>9.6003000000000007</v>
      </c>
      <c r="J28" s="166">
        <f t="shared" si="13"/>
        <v>2.9334250000000006</v>
      </c>
      <c r="K28" s="166">
        <f t="shared" si="14"/>
        <v>1.7600550000000001</v>
      </c>
      <c r="L28" s="167">
        <f t="shared" si="15"/>
        <v>14.29378</v>
      </c>
      <c r="M28" s="167">
        <f t="shared" si="16"/>
        <v>3.78</v>
      </c>
      <c r="N28" s="167">
        <f t="shared" si="17"/>
        <v>0.57540000000000002</v>
      </c>
      <c r="O28" s="97">
        <f t="shared" si="18"/>
        <v>0.25</v>
      </c>
      <c r="P28" s="167">
        <f t="shared" si="19"/>
        <v>5.3334999999999999</v>
      </c>
      <c r="Q28" s="166">
        <f t="shared" si="20"/>
        <v>0.53334999999999999</v>
      </c>
      <c r="R28" s="97">
        <f t="shared" si="21"/>
        <v>9.11</v>
      </c>
      <c r="S28" s="167">
        <f t="shared" si="22"/>
        <v>19.582250000000002</v>
      </c>
      <c r="T28" s="167">
        <f t="shared" si="23"/>
        <v>33.87603</v>
      </c>
    </row>
    <row r="29" spans="1:20" x14ac:dyDescent="0.25">
      <c r="A29" s="97">
        <v>2</v>
      </c>
      <c r="B29" s="164" t="s">
        <v>447</v>
      </c>
      <c r="C29" s="97">
        <v>120</v>
      </c>
      <c r="D29" s="97">
        <v>60641</v>
      </c>
      <c r="E29" s="168">
        <v>60641</v>
      </c>
      <c r="F29" s="165">
        <v>10</v>
      </c>
      <c r="G29" s="97">
        <v>10</v>
      </c>
      <c r="H29" s="97">
        <v>500</v>
      </c>
      <c r="I29" s="166">
        <f t="shared" si="12"/>
        <v>10.915380000000001</v>
      </c>
      <c r="J29" s="166">
        <f t="shared" si="13"/>
        <v>3.3352550000000001</v>
      </c>
      <c r="K29" s="166">
        <f t="shared" si="14"/>
        <v>2.001153</v>
      </c>
      <c r="L29" s="167">
        <f t="shared" si="15"/>
        <v>16.251788000000001</v>
      </c>
      <c r="M29" s="167">
        <f t="shared" si="16"/>
        <v>4.32</v>
      </c>
      <c r="N29" s="167">
        <f t="shared" si="17"/>
        <v>0.65760000000000007</v>
      </c>
      <c r="O29" s="97">
        <f t="shared" si="18"/>
        <v>0.25</v>
      </c>
      <c r="P29" s="167">
        <f t="shared" si="19"/>
        <v>6.0641000000000007</v>
      </c>
      <c r="Q29" s="166">
        <f t="shared" si="20"/>
        <v>0.60641</v>
      </c>
      <c r="R29" s="97">
        <f t="shared" si="21"/>
        <v>9.11</v>
      </c>
      <c r="S29" s="167">
        <f t="shared" si="22"/>
        <v>21.008110000000002</v>
      </c>
      <c r="T29" s="167">
        <f t="shared" si="23"/>
        <v>37.259898000000007</v>
      </c>
    </row>
    <row r="30" spans="1:20" x14ac:dyDescent="0.25">
      <c r="A30" s="97">
        <v>2</v>
      </c>
      <c r="B30" s="164" t="s">
        <v>447</v>
      </c>
      <c r="C30" s="97">
        <v>140</v>
      </c>
      <c r="D30" s="97">
        <v>70139</v>
      </c>
      <c r="E30" s="168">
        <v>70139</v>
      </c>
      <c r="F30" s="165">
        <v>10</v>
      </c>
      <c r="G30" s="97">
        <v>10</v>
      </c>
      <c r="H30" s="97">
        <v>500</v>
      </c>
      <c r="I30" s="166">
        <f t="shared" si="12"/>
        <v>12.625019999999999</v>
      </c>
      <c r="J30" s="166">
        <f t="shared" si="13"/>
        <v>3.8576450000000002</v>
      </c>
      <c r="K30" s="166">
        <f t="shared" si="14"/>
        <v>2.314587</v>
      </c>
      <c r="L30" s="167">
        <f t="shared" si="15"/>
        <v>18.797252</v>
      </c>
      <c r="M30" s="167">
        <f t="shared" si="16"/>
        <v>5.04</v>
      </c>
      <c r="N30" s="167">
        <f t="shared" si="17"/>
        <v>0.7672000000000001</v>
      </c>
      <c r="O30" s="97">
        <f t="shared" si="18"/>
        <v>0.25</v>
      </c>
      <c r="P30" s="167">
        <f t="shared" si="19"/>
        <v>7.0139000000000005</v>
      </c>
      <c r="Q30" s="166">
        <f t="shared" si="20"/>
        <v>0.70139000000000007</v>
      </c>
      <c r="R30" s="97">
        <f t="shared" si="21"/>
        <v>9.11</v>
      </c>
      <c r="S30" s="167">
        <f t="shared" si="22"/>
        <v>22.882490000000001</v>
      </c>
      <c r="T30" s="167">
        <f t="shared" si="23"/>
        <v>41.679742000000005</v>
      </c>
    </row>
    <row r="31" spans="1:20" x14ac:dyDescent="0.25">
      <c r="A31" s="97">
        <v>2</v>
      </c>
      <c r="B31" s="164" t="s">
        <v>447</v>
      </c>
      <c r="C31" s="97">
        <v>160</v>
      </c>
      <c r="D31" s="97">
        <v>80002</v>
      </c>
      <c r="E31" s="168">
        <v>80002</v>
      </c>
      <c r="F31" s="165">
        <v>10</v>
      </c>
      <c r="G31" s="97">
        <v>10</v>
      </c>
      <c r="H31" s="97">
        <v>500</v>
      </c>
      <c r="I31" s="166">
        <f t="shared" si="12"/>
        <v>14.400360000000001</v>
      </c>
      <c r="J31" s="166">
        <f t="shared" si="13"/>
        <v>4.4001100000000006</v>
      </c>
      <c r="K31" s="166">
        <f t="shared" si="14"/>
        <v>2.6400660000000005</v>
      </c>
      <c r="L31" s="167">
        <f t="shared" si="15"/>
        <v>21.440536000000002</v>
      </c>
      <c r="M31" s="167">
        <f t="shared" si="16"/>
        <v>5.76</v>
      </c>
      <c r="N31" s="167">
        <f t="shared" si="17"/>
        <v>0.87680000000000013</v>
      </c>
      <c r="O31" s="97">
        <f t="shared" si="18"/>
        <v>0.25</v>
      </c>
      <c r="P31" s="167">
        <f t="shared" si="19"/>
        <v>8.0001999999999995</v>
      </c>
      <c r="Q31" s="166">
        <f t="shared" si="20"/>
        <v>0.80001999999999995</v>
      </c>
      <c r="R31" s="97">
        <f t="shared" si="21"/>
        <v>9.11</v>
      </c>
      <c r="S31" s="167">
        <f t="shared" si="22"/>
        <v>24.79702</v>
      </c>
      <c r="T31" s="167">
        <f t="shared" si="23"/>
        <v>46.237555999999998</v>
      </c>
    </row>
    <row r="32" spans="1:20" x14ac:dyDescent="0.25">
      <c r="A32" s="97">
        <v>2</v>
      </c>
      <c r="B32" s="164" t="s">
        <v>447</v>
      </c>
      <c r="C32" s="97">
        <v>180</v>
      </c>
      <c r="D32" s="97">
        <v>89500</v>
      </c>
      <c r="E32" s="168">
        <v>89500</v>
      </c>
      <c r="F32" s="165">
        <v>10</v>
      </c>
      <c r="G32" s="97">
        <v>10</v>
      </c>
      <c r="H32" s="97">
        <v>500</v>
      </c>
      <c r="I32" s="166">
        <f t="shared" si="12"/>
        <v>16.11</v>
      </c>
      <c r="J32" s="166">
        <f t="shared" si="13"/>
        <v>4.9225000000000012</v>
      </c>
      <c r="K32" s="166">
        <f t="shared" si="14"/>
        <v>2.9535000000000005</v>
      </c>
      <c r="L32" s="167">
        <f t="shared" si="15"/>
        <v>23.986000000000001</v>
      </c>
      <c r="M32" s="167">
        <f t="shared" si="16"/>
        <v>6.4799999999999995</v>
      </c>
      <c r="N32" s="167">
        <f t="shared" si="17"/>
        <v>0.98640000000000005</v>
      </c>
      <c r="O32" s="97">
        <f t="shared" si="18"/>
        <v>0.25</v>
      </c>
      <c r="P32" s="167">
        <f t="shared" si="19"/>
        <v>8.9500000000000011</v>
      </c>
      <c r="Q32" s="166">
        <f t="shared" si="20"/>
        <v>0.89500000000000013</v>
      </c>
      <c r="R32" s="97">
        <f t="shared" si="21"/>
        <v>9.11</v>
      </c>
      <c r="S32" s="167">
        <f t="shared" si="22"/>
        <v>26.671399999999998</v>
      </c>
      <c r="T32" s="167">
        <f t="shared" si="23"/>
        <v>50.657399999999996</v>
      </c>
    </row>
    <row r="33" spans="1:20" x14ac:dyDescent="0.25">
      <c r="A33" s="97">
        <v>2</v>
      </c>
      <c r="B33" s="164" t="s">
        <v>447</v>
      </c>
      <c r="C33" s="97">
        <v>210</v>
      </c>
      <c r="D33" s="97">
        <v>106670</v>
      </c>
      <c r="E33" s="168">
        <v>106670</v>
      </c>
      <c r="F33" s="165">
        <v>10</v>
      </c>
      <c r="G33" s="97">
        <v>10</v>
      </c>
      <c r="H33" s="97">
        <v>500</v>
      </c>
      <c r="I33" s="166">
        <f t="shared" si="12"/>
        <v>19.200600000000001</v>
      </c>
      <c r="J33" s="166">
        <f t="shared" si="13"/>
        <v>5.8668500000000012</v>
      </c>
      <c r="K33" s="166">
        <f t="shared" si="14"/>
        <v>3.5201100000000003</v>
      </c>
      <c r="L33" s="167">
        <f t="shared" si="15"/>
        <v>28.58756</v>
      </c>
      <c r="M33" s="167">
        <f t="shared" si="16"/>
        <v>7.56</v>
      </c>
      <c r="N33" s="167">
        <f t="shared" si="17"/>
        <v>1.1508</v>
      </c>
      <c r="O33" s="97">
        <f t="shared" si="18"/>
        <v>0.25</v>
      </c>
      <c r="P33" s="167">
        <f t="shared" si="19"/>
        <v>10.667</v>
      </c>
      <c r="Q33" s="166">
        <f t="shared" si="20"/>
        <v>1.0667</v>
      </c>
      <c r="R33" s="97">
        <f t="shared" si="21"/>
        <v>9.11</v>
      </c>
      <c r="S33" s="167">
        <f t="shared" si="22"/>
        <v>29.804500000000001</v>
      </c>
      <c r="T33" s="167">
        <f t="shared" si="23"/>
        <v>58.392060000000001</v>
      </c>
    </row>
    <row r="34" spans="1:20" x14ac:dyDescent="0.25">
      <c r="A34" s="97">
        <v>2</v>
      </c>
      <c r="B34" s="164" t="s">
        <v>447</v>
      </c>
      <c r="C34" s="97">
        <v>240</v>
      </c>
      <c r="D34" s="97">
        <v>121282</v>
      </c>
      <c r="E34" s="168">
        <v>121282</v>
      </c>
      <c r="F34" s="165">
        <v>10</v>
      </c>
      <c r="G34" s="97">
        <v>10</v>
      </c>
      <c r="H34" s="97">
        <v>500</v>
      </c>
      <c r="I34" s="166">
        <f t="shared" si="12"/>
        <v>21.830760000000001</v>
      </c>
      <c r="J34" s="166">
        <f t="shared" si="13"/>
        <v>6.6705100000000002</v>
      </c>
      <c r="K34" s="166">
        <f t="shared" si="14"/>
        <v>4.0023059999999999</v>
      </c>
      <c r="L34" s="167">
        <f t="shared" si="15"/>
        <v>32.503576000000002</v>
      </c>
      <c r="M34" s="167">
        <f t="shared" si="16"/>
        <v>8.64</v>
      </c>
      <c r="N34" s="167">
        <f t="shared" si="17"/>
        <v>1.3152000000000001</v>
      </c>
      <c r="O34" s="97">
        <f t="shared" si="18"/>
        <v>0.25</v>
      </c>
      <c r="P34" s="167">
        <f t="shared" si="19"/>
        <v>12.128200000000001</v>
      </c>
      <c r="Q34" s="166">
        <f t="shared" si="20"/>
        <v>1.21282</v>
      </c>
      <c r="R34" s="97">
        <f t="shared" si="21"/>
        <v>9.11</v>
      </c>
      <c r="S34" s="167">
        <f t="shared" si="22"/>
        <v>32.656220000000005</v>
      </c>
      <c r="T34" s="167">
        <f t="shared" si="23"/>
        <v>65.159796</v>
      </c>
    </row>
    <row r="35" spans="1:20" x14ac:dyDescent="0.25">
      <c r="A35" s="97">
        <v>2</v>
      </c>
      <c r="B35" s="164" t="s">
        <v>447</v>
      </c>
      <c r="C35" s="97">
        <v>280</v>
      </c>
      <c r="D35" s="97">
        <v>140278</v>
      </c>
      <c r="E35" s="168">
        <v>140278</v>
      </c>
      <c r="F35" s="165">
        <v>10</v>
      </c>
      <c r="G35" s="97">
        <v>10</v>
      </c>
      <c r="H35" s="97">
        <v>500</v>
      </c>
      <c r="I35" s="166">
        <f t="shared" si="12"/>
        <v>25.250039999999998</v>
      </c>
      <c r="J35" s="166">
        <f t="shared" si="13"/>
        <v>7.7152900000000004</v>
      </c>
      <c r="K35" s="166">
        <f t="shared" si="14"/>
        <v>4.6291739999999999</v>
      </c>
      <c r="L35" s="167">
        <f t="shared" si="15"/>
        <v>37.594504000000001</v>
      </c>
      <c r="M35" s="167">
        <f t="shared" si="16"/>
        <v>10.08</v>
      </c>
      <c r="N35" s="167">
        <f t="shared" si="17"/>
        <v>1.5344000000000002</v>
      </c>
      <c r="O35" s="97">
        <f t="shared" si="18"/>
        <v>0.25</v>
      </c>
      <c r="P35" s="167">
        <f t="shared" si="19"/>
        <v>14.027800000000001</v>
      </c>
      <c r="Q35" s="166">
        <f t="shared" si="20"/>
        <v>1.4027800000000001</v>
      </c>
      <c r="R35" s="97">
        <f t="shared" si="21"/>
        <v>9.11</v>
      </c>
      <c r="S35" s="167">
        <f t="shared" si="22"/>
        <v>36.404980000000002</v>
      </c>
      <c r="T35" s="167">
        <f t="shared" si="23"/>
        <v>73.999483999999995</v>
      </c>
    </row>
    <row r="36" spans="1:20" x14ac:dyDescent="0.25">
      <c r="A36" s="97">
        <v>2</v>
      </c>
      <c r="B36" s="164" t="s">
        <v>447</v>
      </c>
      <c r="C36" s="97">
        <v>320</v>
      </c>
      <c r="D36" s="97">
        <v>159274</v>
      </c>
      <c r="E36" s="168">
        <v>159274</v>
      </c>
      <c r="F36" s="165">
        <v>10</v>
      </c>
      <c r="G36" s="97">
        <v>10</v>
      </c>
      <c r="H36" s="97">
        <v>500</v>
      </c>
      <c r="I36" s="166">
        <f t="shared" si="12"/>
        <v>28.669320000000003</v>
      </c>
      <c r="J36" s="166">
        <f t="shared" si="13"/>
        <v>8.7600700000000025</v>
      </c>
      <c r="K36" s="166">
        <f t="shared" si="14"/>
        <v>5.2560420000000008</v>
      </c>
      <c r="L36" s="167">
        <f t="shared" si="15"/>
        <v>42.685432000000006</v>
      </c>
      <c r="M36" s="167">
        <f t="shared" si="16"/>
        <v>11.52</v>
      </c>
      <c r="N36" s="167">
        <f t="shared" si="17"/>
        <v>1.7536000000000003</v>
      </c>
      <c r="O36" s="97">
        <f t="shared" si="18"/>
        <v>0.25</v>
      </c>
      <c r="P36" s="167">
        <f t="shared" si="19"/>
        <v>15.9274</v>
      </c>
      <c r="Q36" s="166">
        <f t="shared" si="20"/>
        <v>1.59274</v>
      </c>
      <c r="R36" s="97">
        <f t="shared" si="21"/>
        <v>9.11</v>
      </c>
      <c r="S36" s="167">
        <f t="shared" si="22"/>
        <v>40.153739999999999</v>
      </c>
      <c r="T36" s="167">
        <f t="shared" si="23"/>
        <v>82.839172000000005</v>
      </c>
    </row>
    <row r="37" spans="1:20" x14ac:dyDescent="0.25">
      <c r="A37" s="97"/>
      <c r="B37" s="164"/>
      <c r="C37" s="97"/>
      <c r="D37" s="97"/>
      <c r="E37" s="168"/>
      <c r="F37" s="169"/>
      <c r="G37" s="168"/>
      <c r="H37" s="168"/>
      <c r="I37" s="170"/>
      <c r="J37" s="170"/>
      <c r="K37" s="170"/>
      <c r="L37" s="97"/>
      <c r="M37" s="167"/>
      <c r="N37" s="167"/>
      <c r="O37" s="170"/>
      <c r="P37" s="167"/>
      <c r="Q37" s="170"/>
      <c r="R37" s="170"/>
      <c r="S37" s="170"/>
      <c r="T37" s="97"/>
    </row>
    <row r="38" spans="1:20" x14ac:dyDescent="0.25">
      <c r="A38" s="97">
        <v>3</v>
      </c>
      <c r="B38" s="170" t="s">
        <v>448</v>
      </c>
      <c r="C38" s="97">
        <v>45</v>
      </c>
      <c r="D38" s="97">
        <v>28147</v>
      </c>
      <c r="E38" s="168">
        <v>28147</v>
      </c>
      <c r="F38" s="165">
        <v>10</v>
      </c>
      <c r="G38" s="97">
        <v>10</v>
      </c>
      <c r="H38" s="97">
        <v>500</v>
      </c>
      <c r="I38" s="166">
        <f t="shared" ref="I38:I47" si="24">(E38*0.9)/(G38*H38)</f>
        <v>5.0664600000000002</v>
      </c>
      <c r="J38" s="166">
        <f t="shared" ref="J38:J47" si="25">((E38*1.1)/(2*H38))*($J$2/100)</f>
        <v>1.5480850000000002</v>
      </c>
      <c r="K38" s="166">
        <f t="shared" ref="K38:K47" si="26">((E38*1.1)/(2*H38)*($K$2/100))</f>
        <v>0.92885099999999998</v>
      </c>
      <c r="L38" s="167">
        <f t="shared" ref="L38:L47" si="27">+I38+J38+K38</f>
        <v>7.5433960000000004</v>
      </c>
      <c r="M38" s="167">
        <f t="shared" ref="M38:M47" si="28">+C38*$L$2*$M$2</f>
        <v>1.6199999999999999</v>
      </c>
      <c r="N38" s="167">
        <f t="shared" ref="N38:N47" si="29">+C38*$N$2*$O$2</f>
        <v>0.24660000000000001</v>
      </c>
      <c r="O38" s="97">
        <f t="shared" ref="O38:O47" si="30">+$P$2/$Q$2</f>
        <v>0.25</v>
      </c>
      <c r="P38" s="167">
        <f t="shared" ref="P38:P47" si="31">+E38*($R$2/100)</f>
        <v>2.8147000000000002</v>
      </c>
      <c r="Q38" s="166">
        <f t="shared" ref="Q38:Q47" si="32">+P38*$S$2/100</f>
        <v>0.28147</v>
      </c>
      <c r="R38" s="97">
        <f t="shared" ref="R38:R47" si="33">+$T$2</f>
        <v>9.11</v>
      </c>
      <c r="S38" s="167">
        <f t="shared" ref="S38:S47" si="34">+M38+N38+O38+P38+Q38+R38</f>
        <v>14.322769999999998</v>
      </c>
      <c r="T38" s="167">
        <f t="shared" ref="T38:T47" si="35">+L38+S38</f>
        <v>21.866166</v>
      </c>
    </row>
    <row r="39" spans="1:20" x14ac:dyDescent="0.25">
      <c r="A39" s="97">
        <v>3</v>
      </c>
      <c r="B39" s="170" t="s">
        <v>448</v>
      </c>
      <c r="C39" s="97">
        <v>53</v>
      </c>
      <c r="D39" s="97">
        <v>32600</v>
      </c>
      <c r="E39" s="168">
        <v>32600</v>
      </c>
      <c r="F39" s="165">
        <v>10</v>
      </c>
      <c r="G39" s="97">
        <v>10</v>
      </c>
      <c r="H39" s="97">
        <v>500</v>
      </c>
      <c r="I39" s="166">
        <f t="shared" si="24"/>
        <v>5.8680000000000003</v>
      </c>
      <c r="J39" s="166">
        <f t="shared" si="25"/>
        <v>1.7930000000000001</v>
      </c>
      <c r="K39" s="166">
        <f t="shared" si="26"/>
        <v>1.0757999999999999</v>
      </c>
      <c r="L39" s="167">
        <f t="shared" si="27"/>
        <v>8.7368000000000006</v>
      </c>
      <c r="M39" s="167">
        <f t="shared" si="28"/>
        <v>1.9080000000000001</v>
      </c>
      <c r="N39" s="167">
        <f t="shared" si="29"/>
        <v>0.29044000000000003</v>
      </c>
      <c r="O39" s="97">
        <f t="shared" si="30"/>
        <v>0.25</v>
      </c>
      <c r="P39" s="167">
        <f t="shared" si="31"/>
        <v>3.2600000000000002</v>
      </c>
      <c r="Q39" s="166">
        <f t="shared" si="32"/>
        <v>0.32600000000000001</v>
      </c>
      <c r="R39" s="97">
        <f t="shared" si="33"/>
        <v>9.11</v>
      </c>
      <c r="S39" s="167">
        <f t="shared" si="34"/>
        <v>15.144439999999999</v>
      </c>
      <c r="T39" s="167">
        <f t="shared" si="35"/>
        <v>23.881239999999998</v>
      </c>
    </row>
    <row r="40" spans="1:20" x14ac:dyDescent="0.25">
      <c r="A40" s="97">
        <v>3</v>
      </c>
      <c r="B40" s="170" t="s">
        <v>448</v>
      </c>
      <c r="C40" s="97">
        <v>60</v>
      </c>
      <c r="D40" s="97">
        <v>36465</v>
      </c>
      <c r="E40" s="168">
        <v>36465</v>
      </c>
      <c r="F40" s="165">
        <v>10</v>
      </c>
      <c r="G40" s="97">
        <v>10</v>
      </c>
      <c r="H40" s="97">
        <v>500</v>
      </c>
      <c r="I40" s="166">
        <f t="shared" si="24"/>
        <v>6.5636999999999999</v>
      </c>
      <c r="J40" s="166">
        <f t="shared" si="25"/>
        <v>2.0055749999999999</v>
      </c>
      <c r="K40" s="166">
        <f t="shared" si="26"/>
        <v>1.2033449999999999</v>
      </c>
      <c r="L40" s="167">
        <f t="shared" si="27"/>
        <v>9.7726199999999999</v>
      </c>
      <c r="M40" s="167">
        <f t="shared" si="28"/>
        <v>2.16</v>
      </c>
      <c r="N40" s="167">
        <f t="shared" si="29"/>
        <v>0.32880000000000004</v>
      </c>
      <c r="O40" s="97">
        <f t="shared" si="30"/>
        <v>0.25</v>
      </c>
      <c r="P40" s="167">
        <f t="shared" si="31"/>
        <v>3.6465000000000001</v>
      </c>
      <c r="Q40" s="166">
        <f t="shared" si="32"/>
        <v>0.36465000000000003</v>
      </c>
      <c r="R40" s="97">
        <f t="shared" si="33"/>
        <v>9.11</v>
      </c>
      <c r="S40" s="167">
        <f t="shared" si="34"/>
        <v>15.859950000000001</v>
      </c>
      <c r="T40" s="167">
        <f t="shared" si="35"/>
        <v>25.632570000000001</v>
      </c>
    </row>
    <row r="41" spans="1:20" x14ac:dyDescent="0.25">
      <c r="A41" s="97">
        <v>3</v>
      </c>
      <c r="B41" s="170" t="s">
        <v>448</v>
      </c>
      <c r="C41" s="97">
        <v>70</v>
      </c>
      <c r="D41" s="97">
        <v>42010</v>
      </c>
      <c r="E41" s="168">
        <v>42010</v>
      </c>
      <c r="F41" s="165">
        <v>10</v>
      </c>
      <c r="G41" s="97">
        <v>10</v>
      </c>
      <c r="H41" s="97">
        <v>500</v>
      </c>
      <c r="I41" s="166">
        <f t="shared" si="24"/>
        <v>7.5617999999999999</v>
      </c>
      <c r="J41" s="166">
        <f t="shared" si="25"/>
        <v>2.3105500000000005</v>
      </c>
      <c r="K41" s="166">
        <f t="shared" si="26"/>
        <v>1.3863300000000001</v>
      </c>
      <c r="L41" s="167">
        <f t="shared" si="27"/>
        <v>11.258680000000002</v>
      </c>
      <c r="M41" s="167">
        <f t="shared" si="28"/>
        <v>2.52</v>
      </c>
      <c r="N41" s="167">
        <f t="shared" si="29"/>
        <v>0.38360000000000005</v>
      </c>
      <c r="O41" s="97">
        <f t="shared" si="30"/>
        <v>0.25</v>
      </c>
      <c r="P41" s="167">
        <f t="shared" si="31"/>
        <v>4.2010000000000005</v>
      </c>
      <c r="Q41" s="166">
        <f t="shared" si="32"/>
        <v>0.42010000000000003</v>
      </c>
      <c r="R41" s="97">
        <f t="shared" si="33"/>
        <v>9.11</v>
      </c>
      <c r="S41" s="167">
        <f t="shared" si="34"/>
        <v>16.884699999999999</v>
      </c>
      <c r="T41" s="167">
        <f t="shared" si="35"/>
        <v>28.143380000000001</v>
      </c>
    </row>
    <row r="42" spans="1:20" x14ac:dyDescent="0.25">
      <c r="A42" s="97">
        <v>3</v>
      </c>
      <c r="B42" s="170" t="s">
        <v>448</v>
      </c>
      <c r="C42" s="97">
        <v>80</v>
      </c>
      <c r="D42" s="97">
        <v>47472</v>
      </c>
      <c r="E42" s="168">
        <v>47472</v>
      </c>
      <c r="F42" s="165">
        <v>10</v>
      </c>
      <c r="G42" s="97">
        <v>10</v>
      </c>
      <c r="H42" s="97">
        <v>500</v>
      </c>
      <c r="I42" s="166">
        <f t="shared" si="24"/>
        <v>8.5449600000000014</v>
      </c>
      <c r="J42" s="166">
        <f t="shared" si="25"/>
        <v>2.6109600000000004</v>
      </c>
      <c r="K42" s="166">
        <f t="shared" si="26"/>
        <v>1.5665760000000002</v>
      </c>
      <c r="L42" s="167">
        <f t="shared" si="27"/>
        <v>12.722496000000001</v>
      </c>
      <c r="M42" s="167">
        <f t="shared" si="28"/>
        <v>2.88</v>
      </c>
      <c r="N42" s="167">
        <f t="shared" si="29"/>
        <v>0.43840000000000007</v>
      </c>
      <c r="O42" s="97">
        <f t="shared" si="30"/>
        <v>0.25</v>
      </c>
      <c r="P42" s="167">
        <f t="shared" si="31"/>
        <v>4.7472000000000003</v>
      </c>
      <c r="Q42" s="166">
        <f t="shared" si="32"/>
        <v>0.47472000000000003</v>
      </c>
      <c r="R42" s="97">
        <f t="shared" si="33"/>
        <v>9.11</v>
      </c>
      <c r="S42" s="167">
        <f t="shared" si="34"/>
        <v>17.900320000000001</v>
      </c>
      <c r="T42" s="167">
        <f t="shared" si="35"/>
        <v>30.622816</v>
      </c>
    </row>
    <row r="43" spans="1:20" x14ac:dyDescent="0.25">
      <c r="A43" s="97">
        <v>3</v>
      </c>
      <c r="B43" s="170" t="s">
        <v>448</v>
      </c>
      <c r="C43" s="97">
        <v>90</v>
      </c>
      <c r="D43" s="97">
        <v>52933</v>
      </c>
      <c r="E43" s="168">
        <v>52933</v>
      </c>
      <c r="F43" s="165">
        <v>10</v>
      </c>
      <c r="G43" s="97">
        <v>10</v>
      </c>
      <c r="H43" s="97">
        <v>500</v>
      </c>
      <c r="I43" s="166">
        <f t="shared" si="24"/>
        <v>9.527940000000001</v>
      </c>
      <c r="J43" s="166">
        <f t="shared" si="25"/>
        <v>2.9113150000000001</v>
      </c>
      <c r="K43" s="166">
        <f t="shared" si="26"/>
        <v>1.7467889999999999</v>
      </c>
      <c r="L43" s="167">
        <f t="shared" si="27"/>
        <v>14.186044000000001</v>
      </c>
      <c r="M43" s="167">
        <f t="shared" si="28"/>
        <v>3.2399999999999998</v>
      </c>
      <c r="N43" s="167">
        <f t="shared" si="29"/>
        <v>0.49320000000000003</v>
      </c>
      <c r="O43" s="97">
        <f t="shared" si="30"/>
        <v>0.25</v>
      </c>
      <c r="P43" s="167">
        <f t="shared" si="31"/>
        <v>5.2933000000000003</v>
      </c>
      <c r="Q43" s="166">
        <f t="shared" si="32"/>
        <v>0.52933000000000008</v>
      </c>
      <c r="R43" s="97">
        <f t="shared" si="33"/>
        <v>9.11</v>
      </c>
      <c r="S43" s="167">
        <f t="shared" si="34"/>
        <v>18.91583</v>
      </c>
      <c r="T43" s="167">
        <f t="shared" si="35"/>
        <v>33.101874000000002</v>
      </c>
    </row>
    <row r="44" spans="1:20" x14ac:dyDescent="0.25">
      <c r="A44" s="97">
        <v>3</v>
      </c>
      <c r="B44" s="170" t="s">
        <v>448</v>
      </c>
      <c r="C44" s="97">
        <v>105</v>
      </c>
      <c r="D44" s="97">
        <v>61335</v>
      </c>
      <c r="E44" s="168">
        <v>61335</v>
      </c>
      <c r="F44" s="165">
        <v>10</v>
      </c>
      <c r="G44" s="97">
        <v>10</v>
      </c>
      <c r="H44" s="97">
        <v>500</v>
      </c>
      <c r="I44" s="166">
        <f t="shared" si="24"/>
        <v>11.0403</v>
      </c>
      <c r="J44" s="166">
        <f t="shared" si="25"/>
        <v>3.3734250000000006</v>
      </c>
      <c r="K44" s="166">
        <f t="shared" si="26"/>
        <v>2.0240550000000002</v>
      </c>
      <c r="L44" s="167">
        <f t="shared" si="27"/>
        <v>16.43778</v>
      </c>
      <c r="M44" s="167">
        <f t="shared" si="28"/>
        <v>3.78</v>
      </c>
      <c r="N44" s="167">
        <f t="shared" si="29"/>
        <v>0.57540000000000002</v>
      </c>
      <c r="O44" s="97">
        <f t="shared" si="30"/>
        <v>0.25</v>
      </c>
      <c r="P44" s="167">
        <f t="shared" si="31"/>
        <v>6.1335000000000006</v>
      </c>
      <c r="Q44" s="166">
        <f t="shared" si="32"/>
        <v>0.61335000000000006</v>
      </c>
      <c r="R44" s="97">
        <f t="shared" si="33"/>
        <v>9.11</v>
      </c>
      <c r="S44" s="167">
        <f t="shared" si="34"/>
        <v>20.462250000000001</v>
      </c>
      <c r="T44" s="167">
        <f t="shared" si="35"/>
        <v>36.900030000000001</v>
      </c>
    </row>
    <row r="45" spans="1:20" x14ac:dyDescent="0.25">
      <c r="A45" s="97">
        <v>3</v>
      </c>
      <c r="B45" s="170" t="s">
        <v>448</v>
      </c>
      <c r="C45" s="97">
        <v>120</v>
      </c>
      <c r="D45" s="97">
        <v>69737</v>
      </c>
      <c r="E45" s="168">
        <v>69737</v>
      </c>
      <c r="F45" s="165">
        <v>10</v>
      </c>
      <c r="G45" s="97">
        <v>10</v>
      </c>
      <c r="H45" s="97">
        <v>500</v>
      </c>
      <c r="I45" s="166">
        <f t="shared" si="24"/>
        <v>12.552660000000001</v>
      </c>
      <c r="J45" s="166">
        <f t="shared" si="25"/>
        <v>3.835535000000001</v>
      </c>
      <c r="K45" s="166">
        <f t="shared" si="26"/>
        <v>2.3013210000000006</v>
      </c>
      <c r="L45" s="167">
        <f t="shared" si="27"/>
        <v>18.689516000000005</v>
      </c>
      <c r="M45" s="167">
        <f t="shared" si="28"/>
        <v>4.32</v>
      </c>
      <c r="N45" s="167">
        <f t="shared" si="29"/>
        <v>0.65760000000000007</v>
      </c>
      <c r="O45" s="97">
        <f t="shared" si="30"/>
        <v>0.25</v>
      </c>
      <c r="P45" s="167">
        <f t="shared" si="31"/>
        <v>6.9737</v>
      </c>
      <c r="Q45" s="166">
        <f t="shared" si="32"/>
        <v>0.69736999999999993</v>
      </c>
      <c r="R45" s="97">
        <f t="shared" si="33"/>
        <v>9.11</v>
      </c>
      <c r="S45" s="167">
        <f t="shared" si="34"/>
        <v>22.008669999999999</v>
      </c>
      <c r="T45" s="167">
        <f t="shared" si="35"/>
        <v>40.698186000000007</v>
      </c>
    </row>
    <row r="46" spans="1:20" x14ac:dyDescent="0.25">
      <c r="A46" s="97">
        <v>3</v>
      </c>
      <c r="B46" s="170" t="s">
        <v>448</v>
      </c>
      <c r="C46" s="97">
        <v>140</v>
      </c>
      <c r="D46" s="97">
        <v>80660</v>
      </c>
      <c r="E46" s="168">
        <v>80660</v>
      </c>
      <c r="F46" s="165">
        <v>10</v>
      </c>
      <c r="G46" s="97">
        <v>10</v>
      </c>
      <c r="H46" s="97">
        <v>500</v>
      </c>
      <c r="I46" s="166">
        <f t="shared" si="24"/>
        <v>14.518800000000001</v>
      </c>
      <c r="J46" s="166">
        <f t="shared" si="25"/>
        <v>4.4363000000000001</v>
      </c>
      <c r="K46" s="166">
        <f t="shared" si="26"/>
        <v>2.6617799999999998</v>
      </c>
      <c r="L46" s="167">
        <f t="shared" si="27"/>
        <v>21.616880000000002</v>
      </c>
      <c r="M46" s="167">
        <f t="shared" si="28"/>
        <v>5.04</v>
      </c>
      <c r="N46" s="167">
        <f t="shared" si="29"/>
        <v>0.7672000000000001</v>
      </c>
      <c r="O46" s="97">
        <f t="shared" si="30"/>
        <v>0.25</v>
      </c>
      <c r="P46" s="167">
        <f t="shared" si="31"/>
        <v>8.0660000000000007</v>
      </c>
      <c r="Q46" s="166">
        <f t="shared" si="32"/>
        <v>0.80660000000000009</v>
      </c>
      <c r="R46" s="97">
        <f t="shared" si="33"/>
        <v>9.11</v>
      </c>
      <c r="S46" s="167">
        <f t="shared" si="34"/>
        <v>24.0398</v>
      </c>
      <c r="T46" s="167">
        <f t="shared" si="35"/>
        <v>45.656680000000001</v>
      </c>
    </row>
    <row r="47" spans="1:20" x14ac:dyDescent="0.25">
      <c r="A47" s="97">
        <v>3</v>
      </c>
      <c r="B47" s="170" t="s">
        <v>448</v>
      </c>
      <c r="C47" s="97">
        <v>160</v>
      </c>
      <c r="D47" s="97">
        <v>92003</v>
      </c>
      <c r="E47" s="168">
        <v>92003</v>
      </c>
      <c r="F47" s="165">
        <v>10</v>
      </c>
      <c r="G47" s="97">
        <v>10</v>
      </c>
      <c r="H47" s="97">
        <v>400</v>
      </c>
      <c r="I47" s="166">
        <f t="shared" si="24"/>
        <v>20.700675</v>
      </c>
      <c r="J47" s="166">
        <f t="shared" si="25"/>
        <v>6.3252062500000008</v>
      </c>
      <c r="K47" s="166">
        <f t="shared" si="26"/>
        <v>3.7951237500000001</v>
      </c>
      <c r="L47" s="167">
        <f t="shared" si="27"/>
        <v>30.821005</v>
      </c>
      <c r="M47" s="167">
        <f t="shared" si="28"/>
        <v>5.76</v>
      </c>
      <c r="N47" s="167">
        <f t="shared" si="29"/>
        <v>0.87680000000000013</v>
      </c>
      <c r="O47" s="97">
        <f t="shared" si="30"/>
        <v>0.25</v>
      </c>
      <c r="P47" s="167">
        <f t="shared" si="31"/>
        <v>9.2003000000000004</v>
      </c>
      <c r="Q47" s="166">
        <f t="shared" si="32"/>
        <v>0.92003000000000001</v>
      </c>
      <c r="R47" s="97">
        <f t="shared" si="33"/>
        <v>9.11</v>
      </c>
      <c r="S47" s="167">
        <f t="shared" si="34"/>
        <v>26.11713</v>
      </c>
      <c r="T47" s="167">
        <f t="shared" si="35"/>
        <v>56.938135000000003</v>
      </c>
    </row>
  </sheetData>
  <mergeCells count="1">
    <mergeCell ref="B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9</vt:i4>
      </vt:variant>
    </vt:vector>
  </HeadingPairs>
  <TitlesOfParts>
    <vt:vector size="9" baseType="lpstr">
      <vt:lpstr>Índice</vt:lpstr>
      <vt:lpstr>HorasTra</vt:lpstr>
      <vt:lpstr>CtoTract</vt:lpstr>
      <vt:lpstr>EfVel</vt:lpstr>
      <vt:lpstr>VidaUtil</vt:lpstr>
      <vt:lpstr>TabPot</vt:lpstr>
      <vt:lpstr>ResEsp</vt:lpstr>
      <vt:lpstr>Repar</vt:lpstr>
      <vt:lpstr>IHERA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UTAD</dc:creator>
  <cp:lastModifiedBy>Fernando Santos</cp:lastModifiedBy>
  <cp:lastPrinted>2020-03-02T16:04:30Z</cp:lastPrinted>
  <dcterms:created xsi:type="dcterms:W3CDTF">2003-05-20T13:50:28Z</dcterms:created>
  <dcterms:modified xsi:type="dcterms:W3CDTF">2025-03-06T15:34:34Z</dcterms:modified>
</cp:coreProperties>
</file>