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HP_PC\Aulas_xls\"/>
    </mc:Choice>
  </mc:AlternateContent>
  <bookViews>
    <workbookView xWindow="0" yWindow="0" windowWidth="9660" windowHeight="5496" tabRatio="831"/>
  </bookViews>
  <sheets>
    <sheet name="Indice" sheetId="1" r:id="rId1"/>
    <sheet name="Siglas" sheetId="2" r:id="rId2"/>
    <sheet name="Dados" sheetId="4" r:id="rId3"/>
    <sheet name="PrePoda" sheetId="13" r:id="rId4"/>
    <sheet name="TritSar" sheetId="14" r:id="rId5"/>
    <sheet name="LocAdubo" sheetId="15" r:id="rId6"/>
    <sheet name="Escar" sheetId="16" r:id="rId7"/>
    <sheet name="Pulv" sheetId="17" r:id="rId8"/>
    <sheet name="Despont" sheetId="18" r:id="rId9"/>
    <sheet name="Reboq3.5" sheetId="19" r:id="rId10"/>
    <sheet name="Reboq4.5" sheetId="26" r:id="rId11"/>
    <sheet name="EquipPot" sheetId="27" r:id="rId12"/>
    <sheet name="Trator35" sheetId="6" r:id="rId13"/>
    <sheet name="Trator53" sheetId="7" r:id="rId14"/>
    <sheet name="Trator60" sheetId="8" r:id="rId15"/>
    <sheet name="Enc_TrEquip" sheetId="20" r:id="rId16"/>
    <sheet name="OpManual" sheetId="21" r:id="rId17"/>
    <sheet name="CalCult" sheetId="22" r:id="rId18"/>
    <sheet name="CtoTt" sheetId="23" r:id="rId19"/>
    <sheet name="Res_Eco" sheetId="25" r:id="rId20"/>
    <sheet name="IHERA_Tr" sheetId="5" r:id="rId21"/>
    <sheet name="IHERA_Eq" sheetId="9" r:id="rId22"/>
    <sheet name="Vel  EfC" sheetId="24" r:id="rId23"/>
    <sheet name="Potencias" sheetId="28" r:id="rId24"/>
    <sheet name="Reparações" sheetId="30" r:id="rId25"/>
  </sheets>
  <externalReferences>
    <externalReference r:id="rId26"/>
  </externalReferences>
  <calcPr calcId="162913"/>
</workbook>
</file>

<file path=xl/calcChain.xml><?xml version="1.0" encoding="utf-8"?>
<calcChain xmlns="http://schemas.openxmlformats.org/spreadsheetml/2006/main">
  <c r="A28" i="8" l="1"/>
  <c r="A28" i="7"/>
  <c r="A28" i="6"/>
  <c r="E6" i="20"/>
  <c r="E5" i="20"/>
  <c r="B4" i="18"/>
  <c r="B4" i="17"/>
  <c r="B4" i="16"/>
  <c r="B4" i="15"/>
  <c r="B4" i="14"/>
  <c r="B4" i="13"/>
  <c r="I18" i="14" l="1"/>
  <c r="I18" i="16"/>
  <c r="D13" i="27"/>
  <c r="D12" i="27"/>
  <c r="B10" i="27" l="1"/>
  <c r="B9" i="27"/>
  <c r="B8" i="27"/>
  <c r="B7" i="27"/>
  <c r="B5" i="27"/>
  <c r="B4" i="27"/>
  <c r="B3" i="27"/>
  <c r="K189" i="28"/>
  <c r="K188" i="28"/>
  <c r="K185" i="28"/>
  <c r="K184" i="28"/>
  <c r="K183" i="28"/>
  <c r="K182" i="28"/>
  <c r="K181" i="28"/>
  <c r="K180" i="28"/>
  <c r="K179" i="28"/>
  <c r="K178" i="28"/>
  <c r="K177" i="28"/>
  <c r="K175" i="28"/>
  <c r="K174" i="28"/>
  <c r="K173" i="28"/>
  <c r="K170" i="28"/>
  <c r="K169" i="28"/>
  <c r="K168" i="28"/>
  <c r="K165" i="28"/>
  <c r="K162" i="28"/>
  <c r="K161" i="28"/>
  <c r="K158" i="28"/>
  <c r="K156" i="28"/>
  <c r="D156" i="28"/>
  <c r="K155" i="28"/>
  <c r="D155" i="28"/>
  <c r="K154" i="28"/>
  <c r="D154" i="28"/>
  <c r="K152" i="28"/>
  <c r="K151" i="28"/>
  <c r="K149" i="28"/>
  <c r="K148" i="28"/>
  <c r="K145" i="28"/>
  <c r="K143" i="28"/>
  <c r="K142" i="28"/>
  <c r="K140" i="28"/>
  <c r="K139" i="28"/>
  <c r="K138" i="28"/>
  <c r="K135" i="28"/>
  <c r="K133" i="28"/>
  <c r="K132" i="28"/>
  <c r="K129" i="28"/>
  <c r="K128" i="28"/>
  <c r="K126" i="28"/>
  <c r="K125" i="28"/>
  <c r="K124" i="28"/>
  <c r="K122" i="28"/>
  <c r="K121" i="28"/>
  <c r="K120" i="28"/>
  <c r="K118" i="28"/>
  <c r="K117" i="28"/>
  <c r="K114" i="28"/>
  <c r="K113" i="28"/>
  <c r="K112" i="28"/>
  <c r="K110" i="28"/>
  <c r="K109" i="28"/>
  <c r="K108" i="28"/>
  <c r="K105" i="28"/>
  <c r="D105" i="28"/>
  <c r="K104" i="28"/>
  <c r="D104" i="28"/>
  <c r="K103" i="28"/>
  <c r="D103" i="28"/>
  <c r="K100" i="28"/>
  <c r="K99" i="28"/>
  <c r="K96" i="28"/>
  <c r="D96" i="28"/>
  <c r="K95" i="28"/>
  <c r="D95" i="28"/>
  <c r="K94" i="28"/>
  <c r="D94" i="28"/>
  <c r="K92" i="28"/>
  <c r="K91" i="28"/>
  <c r="K90" i="28"/>
  <c r="K89" i="28"/>
  <c r="K88" i="28"/>
  <c r="K85" i="28"/>
  <c r="D85" i="28"/>
  <c r="K84" i="28"/>
  <c r="D84" i="28"/>
  <c r="K83" i="28"/>
  <c r="D83" i="28"/>
  <c r="K81" i="28"/>
  <c r="K80" i="28"/>
  <c r="K79" i="28"/>
  <c r="K78" i="28"/>
  <c r="K76" i="28"/>
  <c r="K75" i="28"/>
  <c r="K74" i="28"/>
  <c r="K73" i="28"/>
  <c r="K71" i="28"/>
  <c r="K70" i="28"/>
  <c r="K69" i="28"/>
  <c r="D66" i="28"/>
  <c r="H66" i="28" s="1"/>
  <c r="K66" i="28" s="1"/>
  <c r="J66" i="28" s="1"/>
  <c r="D65" i="28"/>
  <c r="H65" i="28" s="1"/>
  <c r="K65" i="28" s="1"/>
  <c r="J65" i="28" s="1"/>
  <c r="D64" i="28"/>
  <c r="H64" i="28" s="1"/>
  <c r="K64" i="28" s="1"/>
  <c r="J64" i="28" s="1"/>
  <c r="D63" i="28"/>
  <c r="H63" i="28" s="1"/>
  <c r="K63" i="28" s="1"/>
  <c r="J63" i="28" s="1"/>
  <c r="D62" i="28"/>
  <c r="H62" i="28" s="1"/>
  <c r="K62" i="28" s="1"/>
  <c r="J62" i="28" s="1"/>
  <c r="H59" i="28"/>
  <c r="K59" i="28" s="1"/>
  <c r="J59" i="28" s="1"/>
  <c r="K58" i="28"/>
  <c r="J58" i="28" s="1"/>
  <c r="H58" i="28"/>
  <c r="K57" i="28"/>
  <c r="J57" i="28" s="1"/>
  <c r="H57" i="28"/>
  <c r="H56" i="28"/>
  <c r="K56" i="28" s="1"/>
  <c r="J56" i="28" s="1"/>
  <c r="H55" i="28"/>
  <c r="K55" i="28" s="1"/>
  <c r="J55" i="28" s="1"/>
  <c r="K54" i="28"/>
  <c r="J54" i="28" s="1"/>
  <c r="H54" i="28"/>
  <c r="H51" i="28"/>
  <c r="K51" i="28" s="1"/>
  <c r="J51" i="28" s="1"/>
  <c r="H50" i="28"/>
  <c r="K50" i="28" s="1"/>
  <c r="J50" i="28" s="1"/>
  <c r="H49" i="28"/>
  <c r="K49" i="28" s="1"/>
  <c r="J49" i="28" s="1"/>
  <c r="K47" i="28"/>
  <c r="J47" i="28" s="1"/>
  <c r="H47" i="28"/>
  <c r="H46" i="28"/>
  <c r="K46" i="28" s="1"/>
  <c r="J46" i="28" s="1"/>
  <c r="H45" i="28"/>
  <c r="K45" i="28" s="1"/>
  <c r="J45" i="28" s="1"/>
  <c r="H44" i="28"/>
  <c r="K44" i="28" s="1"/>
  <c r="J44" i="28" s="1"/>
  <c r="H42" i="28"/>
  <c r="K42" i="28" s="1"/>
  <c r="J42" i="28" s="1"/>
  <c r="H41" i="28"/>
  <c r="K41" i="28" s="1"/>
  <c r="J41" i="28" s="1"/>
  <c r="H40" i="28"/>
  <c r="K40" i="28" s="1"/>
  <c r="J40" i="28" s="1"/>
  <c r="H38" i="28"/>
  <c r="K38" i="28" s="1"/>
  <c r="J38" i="28" s="1"/>
  <c r="H37" i="28"/>
  <c r="K37" i="28" s="1"/>
  <c r="J37" i="28" s="1"/>
  <c r="H35" i="28"/>
  <c r="K35" i="28" s="1"/>
  <c r="J35" i="28" s="1"/>
  <c r="H34" i="28"/>
  <c r="K34" i="28" s="1"/>
  <c r="J34" i="28" s="1"/>
  <c r="H33" i="28"/>
  <c r="K33" i="28" s="1"/>
  <c r="J33" i="28" s="1"/>
  <c r="H32" i="28"/>
  <c r="K32" i="28" s="1"/>
  <c r="J32" i="28" s="1"/>
  <c r="K31" i="28"/>
  <c r="J31" i="28"/>
  <c r="H31" i="28"/>
  <c r="K29" i="28"/>
  <c r="K28" i="28"/>
  <c r="K27" i="28"/>
  <c r="K26" i="28"/>
  <c r="H24" i="28"/>
  <c r="K24" i="28" s="1"/>
  <c r="J24" i="28" s="1"/>
  <c r="D24" i="28"/>
  <c r="D23" i="28"/>
  <c r="H23" i="28" s="1"/>
  <c r="K23" i="28" s="1"/>
  <c r="J23" i="28" s="1"/>
  <c r="D22" i="28"/>
  <c r="H22" i="28" s="1"/>
  <c r="K22" i="28" s="1"/>
  <c r="J22" i="28" s="1"/>
  <c r="H21" i="28"/>
  <c r="K21" i="28" s="1"/>
  <c r="J21" i="28" s="1"/>
  <c r="D21" i="28"/>
  <c r="D19" i="28"/>
  <c r="H19" i="28" s="1"/>
  <c r="K19" i="28" s="1"/>
  <c r="J19" i="28" s="1"/>
  <c r="D18" i="28"/>
  <c r="H18" i="28" s="1"/>
  <c r="K18" i="28" s="1"/>
  <c r="J18" i="28" s="1"/>
  <c r="H17" i="28"/>
  <c r="K17" i="28" s="1"/>
  <c r="J17" i="28" s="1"/>
  <c r="B6" i="27" s="1"/>
  <c r="D17" i="28"/>
  <c r="D15" i="28"/>
  <c r="H15" i="28" s="1"/>
  <c r="K15" i="28" s="1"/>
  <c r="J15" i="28" s="1"/>
  <c r="D14" i="28"/>
  <c r="H14" i="28" s="1"/>
  <c r="K14" i="28" s="1"/>
  <c r="J14" i="28" s="1"/>
  <c r="H13" i="28"/>
  <c r="K13" i="28" s="1"/>
  <c r="J13" i="28" s="1"/>
  <c r="D13" i="28"/>
  <c r="C11" i="28"/>
  <c r="D11" i="28" s="1"/>
  <c r="H11" i="28" s="1"/>
  <c r="K11" i="28" s="1"/>
  <c r="J11" i="28" s="1"/>
  <c r="C10" i="28"/>
  <c r="D10" i="28" s="1"/>
  <c r="H10" i="28" s="1"/>
  <c r="K10" i="28" s="1"/>
  <c r="J10" i="28" s="1"/>
  <c r="C8" i="28"/>
  <c r="D8" i="28" s="1"/>
  <c r="H8" i="28" s="1"/>
  <c r="K8" i="28" s="1"/>
  <c r="J8" i="28" s="1"/>
  <c r="C7" i="28"/>
  <c r="D7" i="28" s="1"/>
  <c r="H7" i="28" s="1"/>
  <c r="K7" i="28" s="1"/>
  <c r="J7" i="28" s="1"/>
  <c r="C6" i="28"/>
  <c r="D6" i="28" s="1"/>
  <c r="H6" i="28" s="1"/>
  <c r="K6" i="28" s="1"/>
  <c r="J6" i="28" s="1"/>
  <c r="C5" i="28"/>
  <c r="D5" i="28" s="1"/>
  <c r="H5" i="28" s="1"/>
  <c r="K5" i="28" s="1"/>
  <c r="J5" i="28" s="1"/>
  <c r="C12" i="27"/>
  <c r="I18" i="26" l="1"/>
  <c r="A32" i="26" l="1"/>
  <c r="E17" i="20" s="1"/>
  <c r="A32" i="19"/>
  <c r="D17" i="20"/>
  <c r="B8" i="26"/>
  <c r="B8" i="19"/>
  <c r="A22" i="26"/>
  <c r="A23" i="26" s="1"/>
  <c r="I16" i="26"/>
  <c r="E16" i="26"/>
  <c r="D16" i="26"/>
  <c r="I12" i="26"/>
  <c r="D12" i="26"/>
  <c r="D8" i="26"/>
  <c r="J4" i="26"/>
  <c r="K4" i="26" s="1"/>
  <c r="B21" i="26" s="1"/>
  <c r="D4" i="26"/>
  <c r="F4" i="26" s="1"/>
  <c r="I8" i="26" l="1"/>
  <c r="G8" i="26"/>
  <c r="C17" i="20"/>
  <c r="E16" i="20"/>
  <c r="D16" i="20"/>
  <c r="D32" i="26"/>
  <c r="G10" i="23" s="1"/>
  <c r="B23" i="26"/>
  <c r="A24" i="26"/>
  <c r="F12" i="26"/>
  <c r="F16" i="26"/>
  <c r="B22" i="26"/>
  <c r="B32" i="26"/>
  <c r="D21" i="26"/>
  <c r="D22" i="26"/>
  <c r="D23" i="26"/>
  <c r="D24" i="26"/>
  <c r="D25" i="26"/>
  <c r="D26" i="26"/>
  <c r="D27" i="26"/>
  <c r="D28" i="26"/>
  <c r="D29" i="26"/>
  <c r="D30" i="26"/>
  <c r="B4" i="8"/>
  <c r="B4" i="7"/>
  <c r="B4" i="6"/>
  <c r="G11" i="25"/>
  <c r="G4" i="25"/>
  <c r="G3" i="25"/>
  <c r="D10" i="27" l="1"/>
  <c r="Z10" i="23"/>
  <c r="C15" i="25"/>
  <c r="F17" i="20"/>
  <c r="E10" i="23"/>
  <c r="J10" i="23" s="1"/>
  <c r="J12" i="22"/>
  <c r="J16" i="26"/>
  <c r="K16" i="26" s="1"/>
  <c r="A25" i="26"/>
  <c r="B24" i="26"/>
  <c r="G5" i="25"/>
  <c r="G6" i="25" s="1"/>
  <c r="AO4" i="23"/>
  <c r="AO3" i="23"/>
  <c r="D48" i="4"/>
  <c r="H24" i="4"/>
  <c r="I24" i="4" s="1"/>
  <c r="H21" i="4"/>
  <c r="I21" i="4" s="1"/>
  <c r="E10" i="4"/>
  <c r="B20" i="25" s="1"/>
  <c r="D20" i="25" s="1"/>
  <c r="E9" i="4"/>
  <c r="B19" i="25" s="1"/>
  <c r="D19" i="25" s="1"/>
  <c r="AP3" i="23" l="1"/>
  <c r="AP4" i="23"/>
  <c r="Z12" i="22"/>
  <c r="V12" i="22"/>
  <c r="R12" i="22"/>
  <c r="N12" i="22"/>
  <c r="W12" i="22"/>
  <c r="O12" i="22"/>
  <c r="AC12" i="22"/>
  <c r="Y12" i="22"/>
  <c r="U12" i="22"/>
  <c r="Q12" i="22"/>
  <c r="M12" i="22"/>
  <c r="K12" i="22"/>
  <c r="S12" i="22"/>
  <c r="AB12" i="22"/>
  <c r="X12" i="22"/>
  <c r="T12" i="22"/>
  <c r="P12" i="22"/>
  <c r="L12" i="22"/>
  <c r="AA12" i="22"/>
  <c r="A26" i="26"/>
  <c r="B25" i="26"/>
  <c r="E4" i="18"/>
  <c r="C4" i="18"/>
  <c r="E4" i="17"/>
  <c r="C4" i="17"/>
  <c r="E4" i="16"/>
  <c r="C4" i="16"/>
  <c r="E4" i="15"/>
  <c r="C4" i="15"/>
  <c r="E4" i="14"/>
  <c r="C4" i="14"/>
  <c r="E4" i="13"/>
  <c r="C4" i="13"/>
  <c r="A27" i="26" l="1"/>
  <c r="B26" i="26"/>
  <c r="E16" i="19"/>
  <c r="D8" i="19"/>
  <c r="E16" i="18"/>
  <c r="D8" i="18"/>
  <c r="E16" i="17"/>
  <c r="D8" i="17"/>
  <c r="E16" i="16"/>
  <c r="D8" i="16"/>
  <c r="E16" i="15"/>
  <c r="D8" i="15"/>
  <c r="E16" i="14"/>
  <c r="D8" i="14"/>
  <c r="E16" i="13"/>
  <c r="D16" i="13"/>
  <c r="D8" i="13"/>
  <c r="D12" i="8"/>
  <c r="A12" i="8"/>
  <c r="H8" i="8"/>
  <c r="G8" i="8"/>
  <c r="E8" i="8"/>
  <c r="D8" i="8"/>
  <c r="B8" i="8"/>
  <c r="A8" i="8"/>
  <c r="E4" i="8"/>
  <c r="D4" i="8"/>
  <c r="C4" i="8"/>
  <c r="D12" i="7"/>
  <c r="A12" i="7"/>
  <c r="H8" i="7"/>
  <c r="G8" i="7"/>
  <c r="E8" i="7"/>
  <c r="D8" i="7"/>
  <c r="B8" i="7"/>
  <c r="A8" i="7"/>
  <c r="E4" i="7"/>
  <c r="D4" i="7"/>
  <c r="C4" i="7"/>
  <c r="D12" i="6"/>
  <c r="A12" i="6"/>
  <c r="H8" i="6"/>
  <c r="G8" i="6"/>
  <c r="E8" i="6"/>
  <c r="B8" i="6"/>
  <c r="D8" i="6"/>
  <c r="A8" i="6"/>
  <c r="E4" i="6"/>
  <c r="D4" i="6"/>
  <c r="C4" i="6"/>
  <c r="A28" i="26" l="1"/>
  <c r="B27" i="26"/>
  <c r="M247" i="9"/>
  <c r="K247" i="9"/>
  <c r="B8" i="18"/>
  <c r="B8" i="17"/>
  <c r="M246" i="9"/>
  <c r="K246" i="9"/>
  <c r="M245" i="9"/>
  <c r="K245" i="9"/>
  <c r="B8" i="15"/>
  <c r="M244" i="9"/>
  <c r="K244" i="9"/>
  <c r="B8" i="14"/>
  <c r="B8" i="13"/>
  <c r="AK9" i="23"/>
  <c r="AJ9" i="23"/>
  <c r="AI9" i="23"/>
  <c r="AK8" i="23"/>
  <c r="AJ8" i="23"/>
  <c r="AI8" i="23"/>
  <c r="AK7" i="23"/>
  <c r="AJ7" i="23"/>
  <c r="AI7" i="23"/>
  <c r="AK6" i="23"/>
  <c r="AJ6" i="23"/>
  <c r="AI6" i="23"/>
  <c r="AK5" i="23"/>
  <c r="AJ5" i="23"/>
  <c r="AI5" i="23"/>
  <c r="AK4" i="23"/>
  <c r="AJ4" i="23"/>
  <c r="AI4" i="23"/>
  <c r="AK3" i="23"/>
  <c r="E39" i="4"/>
  <c r="F39" i="4" s="1"/>
  <c r="E37" i="4"/>
  <c r="F37" i="4" s="1"/>
  <c r="AL8" i="23" s="1"/>
  <c r="E36" i="4"/>
  <c r="F36" i="4" s="1"/>
  <c r="AL7" i="23" s="1"/>
  <c r="E35" i="4"/>
  <c r="F35" i="4" s="1"/>
  <c r="E33" i="4"/>
  <c r="F33" i="4" s="1"/>
  <c r="AL5" i="23" s="1"/>
  <c r="E32" i="4"/>
  <c r="F32" i="4" s="1"/>
  <c r="E30" i="4"/>
  <c r="F30" i="4" s="1"/>
  <c r="AJ3" i="23"/>
  <c r="AI3" i="23"/>
  <c r="E44" i="4"/>
  <c r="D24" i="4"/>
  <c r="E24" i="4" s="1"/>
  <c r="D21" i="4"/>
  <c r="E21" i="4" s="1"/>
  <c r="H18" i="4"/>
  <c r="I18" i="4" s="1"/>
  <c r="C18" i="4"/>
  <c r="D18" i="4" s="1"/>
  <c r="E18" i="4" s="1"/>
  <c r="AL4" i="23" l="1"/>
  <c r="C34" i="25"/>
  <c r="AL9" i="23"/>
  <c r="C36" i="25"/>
  <c r="G21" i="4"/>
  <c r="C25" i="25"/>
  <c r="D25" i="25" s="1"/>
  <c r="AL6" i="23"/>
  <c r="C35" i="25"/>
  <c r="G18" i="4"/>
  <c r="C22" i="25"/>
  <c r="D22" i="25" s="1"/>
  <c r="F44" i="4"/>
  <c r="B30" i="25"/>
  <c r="AP6" i="23"/>
  <c r="G24" i="4"/>
  <c r="C26" i="25"/>
  <c r="D26" i="25" s="1"/>
  <c r="AL3" i="23"/>
  <c r="C33" i="25"/>
  <c r="A29" i="26"/>
  <c r="B28" i="26"/>
  <c r="E11" i="4"/>
  <c r="C27" i="4"/>
  <c r="AL15" i="23" l="1"/>
  <c r="A30" i="26"/>
  <c r="B29" i="26"/>
  <c r="F48" i="4"/>
  <c r="G48" i="4" s="1"/>
  <c r="E43" i="4"/>
  <c r="AN4" i="23"/>
  <c r="AN3" i="23"/>
  <c r="B29" i="25" l="1"/>
  <c r="AP5" i="23"/>
  <c r="B30" i="26"/>
  <c r="F43" i="4"/>
  <c r="C16" i="23"/>
  <c r="C15" i="23"/>
  <c r="C14" i="23"/>
  <c r="I18" i="19"/>
  <c r="I18" i="18"/>
  <c r="I18" i="15"/>
  <c r="AP15" i="23" l="1"/>
  <c r="I18" i="13" l="1"/>
  <c r="A2" i="23"/>
  <c r="A32" i="18"/>
  <c r="A32" i="17"/>
  <c r="A32" i="16"/>
  <c r="A32" i="15"/>
  <c r="A32" i="14"/>
  <c r="A32" i="13"/>
  <c r="F14" i="22"/>
  <c r="I14" i="22"/>
  <c r="I23" i="22" s="1"/>
  <c r="G14" i="22"/>
  <c r="AL19" i="22"/>
  <c r="AL12" i="22"/>
  <c r="AL5" i="22"/>
  <c r="A3" i="22"/>
  <c r="E6" i="21"/>
  <c r="E5" i="21"/>
  <c r="E4" i="21"/>
  <c r="C6" i="21"/>
  <c r="C5" i="21"/>
  <c r="C4" i="21"/>
  <c r="B6" i="21"/>
  <c r="B5" i="21"/>
  <c r="B4" i="21"/>
  <c r="B15" i="23" l="1"/>
  <c r="D15" i="23" s="1"/>
  <c r="B16" i="23"/>
  <c r="D16" i="23" s="1"/>
  <c r="B14" i="23"/>
  <c r="F4" i="21"/>
  <c r="G4" i="21" s="1"/>
  <c r="F5" i="21"/>
  <c r="G5" i="21" s="1"/>
  <c r="F6" i="21"/>
  <c r="G6" i="21" s="1"/>
  <c r="D4" i="21"/>
  <c r="D5" i="21"/>
  <c r="D6" i="21"/>
  <c r="C16" i="20"/>
  <c r="E15" i="20"/>
  <c r="C15" i="20"/>
  <c r="E14" i="20"/>
  <c r="C14" i="20"/>
  <c r="E13" i="20"/>
  <c r="C13" i="20"/>
  <c r="E12" i="20"/>
  <c r="C12" i="20"/>
  <c r="E11" i="20"/>
  <c r="C11" i="20"/>
  <c r="E10" i="20"/>
  <c r="C10" i="20"/>
  <c r="D6" i="20"/>
  <c r="D5" i="20"/>
  <c r="C6" i="20"/>
  <c r="C5" i="20"/>
  <c r="B28" i="8"/>
  <c r="B28" i="7"/>
  <c r="A17" i="8"/>
  <c r="B17" i="8" s="1"/>
  <c r="B16" i="8"/>
  <c r="B12" i="8"/>
  <c r="I8" i="8"/>
  <c r="F8" i="8"/>
  <c r="C8" i="8"/>
  <c r="H4" i="8"/>
  <c r="G4" i="8"/>
  <c r="F4" i="8"/>
  <c r="A17" i="7"/>
  <c r="A18" i="7" s="1"/>
  <c r="B16" i="7"/>
  <c r="B12" i="7"/>
  <c r="I8" i="7"/>
  <c r="F8" i="7"/>
  <c r="C8" i="7"/>
  <c r="H4" i="7"/>
  <c r="G4" i="7"/>
  <c r="F4" i="7"/>
  <c r="B16" i="6"/>
  <c r="B12" i="6"/>
  <c r="I8" i="6"/>
  <c r="F8" i="6"/>
  <c r="C8" i="6"/>
  <c r="H4" i="6"/>
  <c r="G4" i="6"/>
  <c r="F4" i="6"/>
  <c r="A18" i="8" l="1"/>
  <c r="A19" i="8" s="1"/>
  <c r="B19" i="8" s="1"/>
  <c r="G21" i="26"/>
  <c r="AA10" i="23"/>
  <c r="T6" i="23"/>
  <c r="T4" i="23"/>
  <c r="G21" i="16"/>
  <c r="T8" i="23"/>
  <c r="G21" i="14"/>
  <c r="C16" i="8"/>
  <c r="C28" i="8" s="1"/>
  <c r="C12" i="8"/>
  <c r="C16" i="7"/>
  <c r="C28" i="7" s="1"/>
  <c r="D28" i="7" s="1"/>
  <c r="C12" i="7"/>
  <c r="C16" i="6"/>
  <c r="C28" i="6" s="1"/>
  <c r="G4" i="20" s="1"/>
  <c r="C12" i="6"/>
  <c r="D14" i="23"/>
  <c r="D18" i="23" s="1"/>
  <c r="D20" i="23" s="1"/>
  <c r="D21" i="23" s="1"/>
  <c r="B18" i="23"/>
  <c r="B20" i="23" s="1"/>
  <c r="B21" i="23" s="1"/>
  <c r="I4" i="7"/>
  <c r="AA5" i="23"/>
  <c r="AA3" i="23"/>
  <c r="F6" i="20"/>
  <c r="T9" i="23"/>
  <c r="AB20" i="22"/>
  <c r="AB21" i="22" s="1"/>
  <c r="AB24" i="22" s="1"/>
  <c r="Z20" i="22"/>
  <c r="AA20" i="22"/>
  <c r="AA21" i="22" s="1"/>
  <c r="AA24" i="22" s="1"/>
  <c r="G21" i="18"/>
  <c r="G21" i="19"/>
  <c r="R18" i="22"/>
  <c r="R21" i="22" s="1"/>
  <c r="R24" i="22" s="1"/>
  <c r="Q18" i="22"/>
  <c r="S18" i="22"/>
  <c r="S21" i="22" s="1"/>
  <c r="S24" i="22" s="1"/>
  <c r="G17" i="22"/>
  <c r="F17" i="22"/>
  <c r="F21" i="22" s="1"/>
  <c r="E17" i="22"/>
  <c r="E21" i="22" s="1"/>
  <c r="E24" i="22" s="1"/>
  <c r="G21" i="15"/>
  <c r="G21" i="13"/>
  <c r="F5" i="20"/>
  <c r="D28" i="8"/>
  <c r="I21" i="13" s="1"/>
  <c r="I4" i="8"/>
  <c r="C23" i="8"/>
  <c r="C20" i="8"/>
  <c r="C17" i="8"/>
  <c r="D17" i="8" s="1"/>
  <c r="C18" i="8"/>
  <c r="D16" i="8"/>
  <c r="E12" i="8"/>
  <c r="B18" i="8"/>
  <c r="B18" i="7"/>
  <c r="A19" i="7"/>
  <c r="C20" i="7"/>
  <c r="E12" i="7"/>
  <c r="B17" i="7"/>
  <c r="D16" i="7" l="1"/>
  <c r="U8" i="23"/>
  <c r="AB10" i="23"/>
  <c r="AE10" i="23" s="1"/>
  <c r="H21" i="26"/>
  <c r="I21" i="26" s="1"/>
  <c r="H21" i="14"/>
  <c r="H21" i="16"/>
  <c r="I21" i="16" s="1"/>
  <c r="U6" i="23"/>
  <c r="U12" i="23" s="1"/>
  <c r="U4" i="23"/>
  <c r="A20" i="8"/>
  <c r="B20" i="8" s="1"/>
  <c r="D20" i="8" s="1"/>
  <c r="C21" i="7"/>
  <c r="G5" i="20"/>
  <c r="H5" i="20" s="1"/>
  <c r="AB5" i="23"/>
  <c r="AB12" i="23" s="1"/>
  <c r="C17" i="6"/>
  <c r="C17" i="7"/>
  <c r="U9" i="23"/>
  <c r="C18" i="6"/>
  <c r="H21" i="19"/>
  <c r="C23" i="6"/>
  <c r="H21" i="18"/>
  <c r="C24" i="8"/>
  <c r="C19" i="7"/>
  <c r="H21" i="13"/>
  <c r="C20" i="6"/>
  <c r="C21" i="8"/>
  <c r="C22" i="6"/>
  <c r="C25" i="7"/>
  <c r="C22" i="8"/>
  <c r="N7" i="23"/>
  <c r="H21" i="17"/>
  <c r="C23" i="7"/>
  <c r="C18" i="7"/>
  <c r="C21" i="6"/>
  <c r="C24" i="6"/>
  <c r="C24" i="7"/>
  <c r="C25" i="6"/>
  <c r="C19" i="8"/>
  <c r="D19" i="8" s="1"/>
  <c r="C22" i="7"/>
  <c r="H21" i="15"/>
  <c r="I21" i="15" s="1"/>
  <c r="C25" i="8"/>
  <c r="AD10" i="23"/>
  <c r="AF10" i="23" s="1"/>
  <c r="G6" i="20"/>
  <c r="H6" i="20" s="1"/>
  <c r="AB3" i="23"/>
  <c r="AC3" i="23" s="1"/>
  <c r="C19" i="6"/>
  <c r="D16" i="6"/>
  <c r="N12" i="23"/>
  <c r="I21" i="14"/>
  <c r="AA12" i="23"/>
  <c r="V8" i="23"/>
  <c r="T12" i="23"/>
  <c r="V9" i="23"/>
  <c r="V4" i="23"/>
  <c r="F24" i="22"/>
  <c r="F23" i="22"/>
  <c r="G21" i="22"/>
  <c r="AL17" i="22"/>
  <c r="Q21" i="22"/>
  <c r="Q24" i="22" s="1"/>
  <c r="AL18" i="22"/>
  <c r="AL20" i="22"/>
  <c r="Z21" i="22"/>
  <c r="Z24" i="22" s="1"/>
  <c r="I21" i="19"/>
  <c r="I21" i="18"/>
  <c r="D18" i="8"/>
  <c r="A21" i="8"/>
  <c r="D17" i="7"/>
  <c r="B19" i="7"/>
  <c r="A20" i="7"/>
  <c r="D18" i="7"/>
  <c r="AC5" i="23" l="1"/>
  <c r="AC10" i="23"/>
  <c r="D19" i="7"/>
  <c r="V6" i="23"/>
  <c r="V12" i="23"/>
  <c r="AC12" i="23"/>
  <c r="AL23" i="22"/>
  <c r="G24" i="22"/>
  <c r="G23" i="22"/>
  <c r="A22" i="8"/>
  <c r="B21" i="8"/>
  <c r="D21" i="8" s="1"/>
  <c r="A21" i="7"/>
  <c r="B20" i="7"/>
  <c r="D20" i="7" s="1"/>
  <c r="A23" i="8" l="1"/>
  <c r="B22" i="8"/>
  <c r="D22" i="8" s="1"/>
  <c r="A22" i="7"/>
  <c r="B21" i="7"/>
  <c r="D21" i="7" s="1"/>
  <c r="A24" i="8" l="1"/>
  <c r="B23" i="8"/>
  <c r="D23" i="8" s="1"/>
  <c r="B22" i="7"/>
  <c r="D22" i="7" s="1"/>
  <c r="A23" i="7"/>
  <c r="B24" i="8" l="1"/>
  <c r="D24" i="8" s="1"/>
  <c r="A25" i="8"/>
  <c r="B25" i="8" s="1"/>
  <c r="D25" i="8" s="1"/>
  <c r="A24" i="7"/>
  <c r="B23" i="7"/>
  <c r="D23" i="7" s="1"/>
  <c r="A25" i="7" l="1"/>
  <c r="B25" i="7" s="1"/>
  <c r="D25" i="7" s="1"/>
  <c r="B24" i="7"/>
  <c r="D24" i="7" s="1"/>
  <c r="D4" i="20" l="1"/>
  <c r="C4" i="20"/>
  <c r="A22" i="19" l="1"/>
  <c r="A23" i="19" s="1"/>
  <c r="I16" i="19"/>
  <c r="F16" i="19"/>
  <c r="D16" i="19"/>
  <c r="I12" i="19"/>
  <c r="D12" i="19"/>
  <c r="D4" i="19"/>
  <c r="F4" i="19" s="1"/>
  <c r="A22" i="18"/>
  <c r="A23" i="18" s="1"/>
  <c r="A24" i="18" s="1"/>
  <c r="I16" i="18"/>
  <c r="F16" i="18"/>
  <c r="D16" i="18"/>
  <c r="I12" i="18"/>
  <c r="D12" i="18"/>
  <c r="D4" i="18"/>
  <c r="F4" i="18" s="1"/>
  <c r="H4" i="18" s="1"/>
  <c r="D15" i="20" s="1"/>
  <c r="A22" i="17"/>
  <c r="A23" i="17" s="1"/>
  <c r="A24" i="17" s="1"/>
  <c r="I16" i="17"/>
  <c r="F16" i="17"/>
  <c r="D16" i="17"/>
  <c r="I12" i="17"/>
  <c r="D12" i="17"/>
  <c r="D4" i="17"/>
  <c r="F4" i="17" s="1"/>
  <c r="H4" i="17" s="1"/>
  <c r="D14" i="20" s="1"/>
  <c r="A22" i="16"/>
  <c r="I16" i="16"/>
  <c r="F16" i="16"/>
  <c r="D16" i="16"/>
  <c r="I12" i="16"/>
  <c r="D12" i="16"/>
  <c r="D4" i="16"/>
  <c r="F4" i="16" s="1"/>
  <c r="H4" i="16" s="1"/>
  <c r="A22" i="15"/>
  <c r="I16" i="15"/>
  <c r="F16" i="15"/>
  <c r="D16" i="15"/>
  <c r="I12" i="15"/>
  <c r="D12" i="15"/>
  <c r="D4" i="15"/>
  <c r="F4" i="15" s="1"/>
  <c r="H4" i="15" s="1"/>
  <c r="D12" i="20" s="1"/>
  <c r="A22" i="14"/>
  <c r="I16" i="14"/>
  <c r="F16" i="14"/>
  <c r="D16" i="14"/>
  <c r="I12" i="14"/>
  <c r="D12" i="14"/>
  <c r="D4" i="14"/>
  <c r="F4" i="14" s="1"/>
  <c r="H4" i="14" s="1"/>
  <c r="D11" i="20" s="1"/>
  <c r="F12" i="16" l="1"/>
  <c r="J16" i="16" s="1"/>
  <c r="K16" i="16" s="1"/>
  <c r="D28" i="16"/>
  <c r="D27" i="16"/>
  <c r="D32" i="16"/>
  <c r="D26" i="16"/>
  <c r="D21" i="16"/>
  <c r="D30" i="16"/>
  <c r="D25" i="16"/>
  <c r="D24" i="16"/>
  <c r="D29" i="16"/>
  <c r="D23" i="16"/>
  <c r="D22" i="16"/>
  <c r="F12" i="18"/>
  <c r="D26" i="18"/>
  <c r="D21" i="18"/>
  <c r="D25" i="18"/>
  <c r="D32" i="18"/>
  <c r="G8" i="23" s="1"/>
  <c r="D30" i="18"/>
  <c r="D24" i="18"/>
  <c r="D29" i="18"/>
  <c r="D23" i="18"/>
  <c r="D28" i="18"/>
  <c r="D22" i="18"/>
  <c r="D27" i="18"/>
  <c r="A23" i="15"/>
  <c r="F12" i="15"/>
  <c r="J16" i="15" s="1"/>
  <c r="K16" i="15" s="1"/>
  <c r="D26" i="15"/>
  <c r="D25" i="15"/>
  <c r="D32" i="15"/>
  <c r="G5" i="23" s="1"/>
  <c r="D30" i="15"/>
  <c r="D24" i="15"/>
  <c r="D29" i="15"/>
  <c r="D23" i="15"/>
  <c r="D28" i="15"/>
  <c r="D27" i="15"/>
  <c r="D22" i="15"/>
  <c r="D21" i="15"/>
  <c r="A23" i="16"/>
  <c r="F12" i="19"/>
  <c r="J16" i="19" s="1"/>
  <c r="K16" i="19" s="1"/>
  <c r="D22" i="19"/>
  <c r="D27" i="19"/>
  <c r="D26" i="19"/>
  <c r="D21" i="19"/>
  <c r="D32" i="19"/>
  <c r="D25" i="19"/>
  <c r="D30" i="19"/>
  <c r="D24" i="19"/>
  <c r="D28" i="19"/>
  <c r="D29" i="19"/>
  <c r="D23" i="19"/>
  <c r="H32" i="16"/>
  <c r="D13" i="20"/>
  <c r="F12" i="17"/>
  <c r="D32" i="17"/>
  <c r="G7" i="23" s="1"/>
  <c r="D29" i="17"/>
  <c r="D27" i="17"/>
  <c r="D25" i="17"/>
  <c r="D23" i="17"/>
  <c r="D30" i="17"/>
  <c r="D28" i="17"/>
  <c r="D26" i="17"/>
  <c r="D24" i="17"/>
  <c r="D22" i="17"/>
  <c r="D21" i="17"/>
  <c r="A23" i="14"/>
  <c r="F12" i="14"/>
  <c r="J16" i="14" s="1"/>
  <c r="K16" i="14" s="1"/>
  <c r="D32" i="14"/>
  <c r="G4" i="23" s="1"/>
  <c r="D30" i="14"/>
  <c r="D25" i="14"/>
  <c r="D23" i="14"/>
  <c r="D28" i="14"/>
  <c r="D26" i="14"/>
  <c r="D21" i="14"/>
  <c r="D24" i="14"/>
  <c r="D22" i="14"/>
  <c r="D29" i="14"/>
  <c r="D27" i="14"/>
  <c r="J4" i="19"/>
  <c r="K4" i="19" s="1"/>
  <c r="A24" i="19"/>
  <c r="J16" i="18"/>
  <c r="K16" i="18" s="1"/>
  <c r="J4" i="18"/>
  <c r="K4" i="18" s="1"/>
  <c r="A25" i="18"/>
  <c r="J16" i="17"/>
  <c r="K16" i="17" s="1"/>
  <c r="A25" i="17"/>
  <c r="J4" i="17"/>
  <c r="K4" i="17" s="1"/>
  <c r="J4" i="16"/>
  <c r="K4" i="16" s="1"/>
  <c r="J4" i="15"/>
  <c r="K4" i="15" s="1"/>
  <c r="J4" i="14"/>
  <c r="K4" i="14" s="1"/>
  <c r="A22" i="13"/>
  <c r="I16" i="13"/>
  <c r="F16" i="13"/>
  <c r="I12" i="13"/>
  <c r="D12" i="13"/>
  <c r="D4" i="13"/>
  <c r="F4" i="13" s="1"/>
  <c r="H4" i="13" s="1"/>
  <c r="D10" i="20" s="1"/>
  <c r="M243" i="9"/>
  <c r="K243" i="9"/>
  <c r="M242" i="9"/>
  <c r="K242" i="9"/>
  <c r="M241" i="9"/>
  <c r="K241" i="9"/>
  <c r="E8" i="18" s="1"/>
  <c r="M240" i="9"/>
  <c r="K240" i="9"/>
  <c r="M235" i="9"/>
  <c r="K235" i="9"/>
  <c r="M234" i="9"/>
  <c r="K234" i="9"/>
  <c r="M233" i="9"/>
  <c r="K233" i="9"/>
  <c r="M232" i="9"/>
  <c r="K232" i="9"/>
  <c r="M231" i="9"/>
  <c r="K231" i="9"/>
  <c r="M230" i="9"/>
  <c r="K230" i="9"/>
  <c r="M229" i="9"/>
  <c r="K229" i="9"/>
  <c r="M228" i="9"/>
  <c r="K228" i="9"/>
  <c r="M227" i="9"/>
  <c r="K227" i="9"/>
  <c r="M226" i="9"/>
  <c r="K226" i="9"/>
  <c r="M225" i="9"/>
  <c r="K225" i="9"/>
  <c r="M224" i="9"/>
  <c r="K224" i="9"/>
  <c r="M223" i="9"/>
  <c r="K223" i="9"/>
  <c r="M222" i="9"/>
  <c r="K222" i="9"/>
  <c r="M221" i="9"/>
  <c r="K221" i="9"/>
  <c r="M220" i="9"/>
  <c r="K220" i="9"/>
  <c r="M219" i="9"/>
  <c r="K219" i="9"/>
  <c r="M218" i="9"/>
  <c r="K218" i="9"/>
  <c r="M217" i="9"/>
  <c r="K217" i="9"/>
  <c r="M216" i="9"/>
  <c r="K216" i="9"/>
  <c r="M215" i="9"/>
  <c r="K215" i="9"/>
  <c r="M214" i="9"/>
  <c r="K214" i="9"/>
  <c r="M213" i="9"/>
  <c r="K213" i="9"/>
  <c r="M212" i="9"/>
  <c r="K212" i="9"/>
  <c r="M211" i="9"/>
  <c r="K211" i="9"/>
  <c r="M210" i="9"/>
  <c r="K210" i="9"/>
  <c r="M209" i="9"/>
  <c r="K209" i="9"/>
  <c r="M208" i="9"/>
  <c r="K208" i="9"/>
  <c r="M207" i="9"/>
  <c r="K207" i="9"/>
  <c r="M206" i="9"/>
  <c r="K206" i="9"/>
  <c r="M205" i="9"/>
  <c r="K205" i="9"/>
  <c r="M204" i="9"/>
  <c r="K204" i="9"/>
  <c r="M203" i="9"/>
  <c r="K203" i="9"/>
  <c r="M202" i="9"/>
  <c r="K202" i="9"/>
  <c r="M201" i="9"/>
  <c r="K201" i="9"/>
  <c r="M200" i="9"/>
  <c r="K200" i="9"/>
  <c r="M199" i="9"/>
  <c r="K199" i="9"/>
  <c r="M198" i="9"/>
  <c r="K198" i="9"/>
  <c r="M197" i="9"/>
  <c r="K197" i="9"/>
  <c r="M196" i="9"/>
  <c r="K196" i="9"/>
  <c r="M195" i="9"/>
  <c r="K195" i="9"/>
  <c r="M194" i="9"/>
  <c r="K194" i="9"/>
  <c r="M193" i="9"/>
  <c r="K193" i="9"/>
  <c r="M192" i="9"/>
  <c r="K192" i="9"/>
  <c r="M191" i="9"/>
  <c r="K191" i="9"/>
  <c r="M190" i="9"/>
  <c r="K190" i="9"/>
  <c r="M189" i="9"/>
  <c r="K189" i="9"/>
  <c r="M188" i="9"/>
  <c r="K188" i="9"/>
  <c r="M187" i="9"/>
  <c r="K187" i="9"/>
  <c r="M186" i="9"/>
  <c r="K186" i="9"/>
  <c r="M185" i="9"/>
  <c r="K185" i="9"/>
  <c r="M184" i="9"/>
  <c r="K184" i="9"/>
  <c r="M183" i="9"/>
  <c r="K183" i="9"/>
  <c r="M182" i="9"/>
  <c r="K182" i="9"/>
  <c r="M181" i="9"/>
  <c r="K181" i="9"/>
  <c r="M180" i="9"/>
  <c r="K180" i="9"/>
  <c r="M179" i="9"/>
  <c r="K179" i="9"/>
  <c r="M178" i="9"/>
  <c r="K178" i="9"/>
  <c r="M177" i="9"/>
  <c r="K177" i="9"/>
  <c r="M176" i="9"/>
  <c r="K176" i="9"/>
  <c r="M175" i="9"/>
  <c r="K175" i="9"/>
  <c r="M174" i="9"/>
  <c r="K174" i="9"/>
  <c r="M173" i="9"/>
  <c r="K173" i="9"/>
  <c r="M172" i="9"/>
  <c r="K172" i="9"/>
  <c r="M171" i="9"/>
  <c r="K171" i="9"/>
  <c r="M170" i="9"/>
  <c r="K170" i="9"/>
  <c r="M169" i="9"/>
  <c r="K169" i="9"/>
  <c r="M168" i="9"/>
  <c r="K168" i="9"/>
  <c r="M167" i="9"/>
  <c r="K167" i="9"/>
  <c r="M166" i="9"/>
  <c r="K166" i="9"/>
  <c r="M165" i="9"/>
  <c r="K165" i="9"/>
  <c r="M164" i="9"/>
  <c r="K164" i="9"/>
  <c r="M163" i="9"/>
  <c r="K163" i="9"/>
  <c r="M162" i="9"/>
  <c r="K162" i="9"/>
  <c r="M161" i="9"/>
  <c r="K161" i="9"/>
  <c r="M160" i="9"/>
  <c r="K160" i="9"/>
  <c r="M159" i="9"/>
  <c r="K159" i="9"/>
  <c r="M158" i="9"/>
  <c r="K158" i="9"/>
  <c r="M157" i="9"/>
  <c r="K157" i="9"/>
  <c r="M156" i="9"/>
  <c r="K156" i="9"/>
  <c r="M155" i="9"/>
  <c r="K155" i="9"/>
  <c r="M154" i="9"/>
  <c r="K154" i="9"/>
  <c r="M153" i="9"/>
  <c r="K153" i="9"/>
  <c r="M152" i="9"/>
  <c r="K152" i="9"/>
  <c r="M151" i="9"/>
  <c r="K151" i="9"/>
  <c r="M150" i="9"/>
  <c r="K150" i="9"/>
  <c r="M149" i="9"/>
  <c r="K149" i="9"/>
  <c r="M148" i="9"/>
  <c r="K148" i="9"/>
  <c r="M147" i="9"/>
  <c r="K147" i="9"/>
  <c r="M146" i="9"/>
  <c r="K146" i="9"/>
  <c r="M145" i="9"/>
  <c r="K145" i="9"/>
  <c r="M144" i="9"/>
  <c r="K144" i="9"/>
  <c r="M143" i="9"/>
  <c r="K143" i="9"/>
  <c r="M142" i="9"/>
  <c r="K142" i="9"/>
  <c r="M141" i="9"/>
  <c r="K141" i="9"/>
  <c r="M140" i="9"/>
  <c r="K140" i="9"/>
  <c r="M139" i="9"/>
  <c r="K139" i="9"/>
  <c r="M138" i="9"/>
  <c r="K138" i="9"/>
  <c r="M137" i="9"/>
  <c r="K137" i="9"/>
  <c r="M136" i="9"/>
  <c r="K136" i="9"/>
  <c r="M135" i="9"/>
  <c r="K135" i="9"/>
  <c r="M134" i="9"/>
  <c r="K134" i="9"/>
  <c r="M133" i="9"/>
  <c r="K133" i="9"/>
  <c r="M132" i="9"/>
  <c r="K132" i="9"/>
  <c r="M131" i="9"/>
  <c r="K131" i="9"/>
  <c r="M130" i="9"/>
  <c r="K130" i="9"/>
  <c r="M129" i="9"/>
  <c r="K129" i="9"/>
  <c r="M128" i="9"/>
  <c r="K128" i="9"/>
  <c r="M127" i="9"/>
  <c r="K127" i="9"/>
  <c r="M126" i="9"/>
  <c r="K126" i="9"/>
  <c r="M125" i="9"/>
  <c r="K125" i="9"/>
  <c r="M124" i="9"/>
  <c r="K124" i="9"/>
  <c r="M123" i="9"/>
  <c r="K123" i="9"/>
  <c r="M122" i="9"/>
  <c r="K122" i="9"/>
  <c r="M121" i="9"/>
  <c r="K121" i="9"/>
  <c r="M120" i="9"/>
  <c r="K120" i="9"/>
  <c r="M119" i="9"/>
  <c r="K119" i="9"/>
  <c r="M118" i="9"/>
  <c r="K118" i="9"/>
  <c r="M117" i="9"/>
  <c r="K117" i="9"/>
  <c r="M116" i="9"/>
  <c r="K116" i="9"/>
  <c r="M115" i="9"/>
  <c r="K115" i="9"/>
  <c r="M114" i="9"/>
  <c r="K114" i="9"/>
  <c r="M113" i="9"/>
  <c r="K113" i="9"/>
  <c r="M112" i="9"/>
  <c r="K112" i="9"/>
  <c r="M111" i="9"/>
  <c r="K111" i="9"/>
  <c r="M110" i="9"/>
  <c r="K110" i="9"/>
  <c r="M109" i="9"/>
  <c r="K109" i="9"/>
  <c r="M108" i="9"/>
  <c r="K108" i="9"/>
  <c r="M107" i="9"/>
  <c r="K107" i="9"/>
  <c r="M106" i="9"/>
  <c r="K106" i="9"/>
  <c r="M105" i="9"/>
  <c r="K105" i="9"/>
  <c r="M104" i="9"/>
  <c r="K104" i="9"/>
  <c r="M103" i="9"/>
  <c r="K103" i="9"/>
  <c r="M102" i="9"/>
  <c r="K102" i="9"/>
  <c r="M101" i="9"/>
  <c r="K101" i="9"/>
  <c r="M100" i="9"/>
  <c r="K100" i="9"/>
  <c r="M99" i="9"/>
  <c r="K99" i="9"/>
  <c r="M98" i="9"/>
  <c r="K98" i="9"/>
  <c r="M97" i="9"/>
  <c r="K97" i="9"/>
  <c r="M96" i="9"/>
  <c r="K96" i="9"/>
  <c r="M95" i="9"/>
  <c r="K95" i="9"/>
  <c r="M94" i="9"/>
  <c r="K94" i="9"/>
  <c r="M93" i="9"/>
  <c r="K93" i="9"/>
  <c r="M92" i="9"/>
  <c r="K92" i="9"/>
  <c r="M91" i="9"/>
  <c r="K91" i="9"/>
  <c r="M90" i="9"/>
  <c r="K90" i="9"/>
  <c r="M89" i="9"/>
  <c r="K89" i="9"/>
  <c r="M88" i="9"/>
  <c r="K88" i="9"/>
  <c r="M87" i="9"/>
  <c r="K87" i="9"/>
  <c r="M86" i="9"/>
  <c r="K86" i="9"/>
  <c r="M85" i="9"/>
  <c r="K85" i="9"/>
  <c r="M84" i="9"/>
  <c r="K84" i="9"/>
  <c r="M83" i="9"/>
  <c r="K83" i="9"/>
  <c r="M82" i="9"/>
  <c r="K82" i="9"/>
  <c r="M81" i="9"/>
  <c r="K81" i="9"/>
  <c r="M80" i="9"/>
  <c r="K80" i="9"/>
  <c r="M79" i="9"/>
  <c r="K79" i="9"/>
  <c r="M78" i="9"/>
  <c r="K78" i="9"/>
  <c r="M77" i="9"/>
  <c r="K77" i="9"/>
  <c r="M76" i="9"/>
  <c r="K76" i="9"/>
  <c r="M75" i="9"/>
  <c r="K75" i="9"/>
  <c r="M74" i="9"/>
  <c r="K74" i="9"/>
  <c r="M73" i="9"/>
  <c r="K73" i="9"/>
  <c r="M72" i="9"/>
  <c r="K72" i="9"/>
  <c r="M71" i="9"/>
  <c r="K71" i="9"/>
  <c r="M70" i="9"/>
  <c r="K70" i="9"/>
  <c r="M69" i="9"/>
  <c r="K69" i="9"/>
  <c r="M68" i="9"/>
  <c r="K68" i="9"/>
  <c r="M67" i="9"/>
  <c r="K67" i="9"/>
  <c r="M66" i="9"/>
  <c r="K66" i="9"/>
  <c r="M65" i="9"/>
  <c r="K65" i="9"/>
  <c r="M64" i="9"/>
  <c r="K64" i="9"/>
  <c r="M63" i="9"/>
  <c r="K63" i="9"/>
  <c r="M62" i="9"/>
  <c r="K62" i="9"/>
  <c r="M61" i="9"/>
  <c r="K61" i="9"/>
  <c r="M60" i="9"/>
  <c r="K60" i="9"/>
  <c r="M59" i="9"/>
  <c r="K59" i="9"/>
  <c r="M58" i="9"/>
  <c r="K58" i="9"/>
  <c r="M57" i="9"/>
  <c r="K57" i="9"/>
  <c r="M56" i="9"/>
  <c r="K56" i="9"/>
  <c r="M55" i="9"/>
  <c r="K55" i="9"/>
  <c r="M54" i="9"/>
  <c r="K54" i="9"/>
  <c r="M53" i="9"/>
  <c r="K53" i="9"/>
  <c r="M52" i="9"/>
  <c r="K52" i="9"/>
  <c r="M51" i="9"/>
  <c r="K51" i="9"/>
  <c r="M50" i="9"/>
  <c r="K50" i="9"/>
  <c r="M49" i="9"/>
  <c r="K49" i="9"/>
  <c r="M48" i="9"/>
  <c r="K48" i="9"/>
  <c r="M47" i="9"/>
  <c r="K47" i="9"/>
  <c r="M46" i="9"/>
  <c r="K46" i="9"/>
  <c r="M45" i="9"/>
  <c r="K45" i="9"/>
  <c r="M44" i="9"/>
  <c r="K44" i="9"/>
  <c r="M43" i="9"/>
  <c r="K43" i="9"/>
  <c r="M42" i="9"/>
  <c r="K42" i="9"/>
  <c r="M41" i="9"/>
  <c r="K41" i="9"/>
  <c r="M40" i="9"/>
  <c r="K40" i="9"/>
  <c r="M39" i="9"/>
  <c r="K39" i="9"/>
  <c r="M38" i="9"/>
  <c r="K38" i="9"/>
  <c r="M37" i="9"/>
  <c r="K37" i="9"/>
  <c r="M36" i="9"/>
  <c r="K36" i="9"/>
  <c r="M35" i="9"/>
  <c r="K35" i="9"/>
  <c r="M34" i="9"/>
  <c r="K34" i="9"/>
  <c r="M33" i="9"/>
  <c r="K33" i="9"/>
  <c r="M32" i="9"/>
  <c r="K32" i="9"/>
  <c r="M31" i="9"/>
  <c r="K31" i="9"/>
  <c r="M30" i="9"/>
  <c r="K30" i="9"/>
  <c r="M29" i="9"/>
  <c r="K29" i="9"/>
  <c r="M28" i="9"/>
  <c r="K28" i="9"/>
  <c r="M27" i="9"/>
  <c r="K27" i="9"/>
  <c r="M26" i="9"/>
  <c r="K26" i="9"/>
  <c r="M25" i="9"/>
  <c r="K25" i="9"/>
  <c r="M24" i="9"/>
  <c r="K24" i="9"/>
  <c r="M23" i="9"/>
  <c r="K23" i="9"/>
  <c r="M22" i="9"/>
  <c r="K22" i="9"/>
  <c r="M21" i="9"/>
  <c r="K21" i="9"/>
  <c r="M20" i="9"/>
  <c r="K20" i="9"/>
  <c r="M19" i="9"/>
  <c r="K19" i="9"/>
  <c r="M18" i="9"/>
  <c r="K18" i="9"/>
  <c r="M17" i="9"/>
  <c r="K17" i="9"/>
  <c r="M16" i="9"/>
  <c r="K16" i="9"/>
  <c r="M15" i="9"/>
  <c r="K15" i="9"/>
  <c r="M14" i="9"/>
  <c r="K14" i="9"/>
  <c r="M13" i="9"/>
  <c r="K13" i="9"/>
  <c r="M12" i="9"/>
  <c r="K12" i="9"/>
  <c r="M11" i="9"/>
  <c r="K11" i="9"/>
  <c r="M10" i="9"/>
  <c r="K10" i="9"/>
  <c r="M9" i="9"/>
  <c r="K9" i="9"/>
  <c r="M8" i="9"/>
  <c r="K8" i="9"/>
  <c r="M7" i="9"/>
  <c r="K7" i="9"/>
  <c r="M6" i="9"/>
  <c r="K6" i="9"/>
  <c r="M5" i="9"/>
  <c r="K5" i="9"/>
  <c r="A5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A208" i="9" s="1"/>
  <c r="A209" i="9" s="1"/>
  <c r="A210" i="9" s="1"/>
  <c r="A211" i="9" s="1"/>
  <c r="A212" i="9" s="1"/>
  <c r="A213" i="9" s="1"/>
  <c r="A214" i="9" s="1"/>
  <c r="A215" i="9" s="1"/>
  <c r="A216" i="9" s="1"/>
  <c r="A217" i="9" s="1"/>
  <c r="A218" i="9" s="1"/>
  <c r="A219" i="9" s="1"/>
  <c r="A220" i="9" s="1"/>
  <c r="A221" i="9" s="1"/>
  <c r="A222" i="9" s="1"/>
  <c r="A223" i="9" s="1"/>
  <c r="A224" i="9" s="1"/>
  <c r="A225" i="9" s="1"/>
  <c r="A226" i="9" s="1"/>
  <c r="A227" i="9" s="1"/>
  <c r="A228" i="9" s="1"/>
  <c r="A229" i="9" s="1"/>
  <c r="A230" i="9" s="1"/>
  <c r="A231" i="9" s="1"/>
  <c r="A232" i="9" s="1"/>
  <c r="A233" i="9" s="1"/>
  <c r="A234" i="9" s="1"/>
  <c r="A235" i="9" s="1"/>
  <c r="M4" i="9"/>
  <c r="K4" i="9"/>
  <c r="L1" i="9"/>
  <c r="S45" i="5"/>
  <c r="Q45" i="5"/>
  <c r="R45" i="5" s="1"/>
  <c r="P45" i="5"/>
  <c r="O45" i="5"/>
  <c r="N45" i="5"/>
  <c r="L45" i="5"/>
  <c r="K45" i="5"/>
  <c r="J45" i="5"/>
  <c r="S44" i="5"/>
  <c r="Q44" i="5"/>
  <c r="R44" i="5" s="1"/>
  <c r="P44" i="5"/>
  <c r="O44" i="5"/>
  <c r="N44" i="5"/>
  <c r="L44" i="5"/>
  <c r="K44" i="5"/>
  <c r="J44" i="5"/>
  <c r="M44" i="5" s="1"/>
  <c r="S43" i="5"/>
  <c r="Q43" i="5"/>
  <c r="R43" i="5" s="1"/>
  <c r="P43" i="5"/>
  <c r="O43" i="5"/>
  <c r="N43" i="5"/>
  <c r="L43" i="5"/>
  <c r="K43" i="5"/>
  <c r="J43" i="5"/>
  <c r="S42" i="5"/>
  <c r="Q42" i="5"/>
  <c r="R42" i="5" s="1"/>
  <c r="P42" i="5"/>
  <c r="O42" i="5"/>
  <c r="N42" i="5"/>
  <c r="L42" i="5"/>
  <c r="K42" i="5"/>
  <c r="J42" i="5"/>
  <c r="S41" i="5"/>
  <c r="Q41" i="5"/>
  <c r="R41" i="5" s="1"/>
  <c r="P41" i="5"/>
  <c r="O41" i="5"/>
  <c r="N41" i="5"/>
  <c r="L41" i="5"/>
  <c r="K41" i="5"/>
  <c r="J41" i="5"/>
  <c r="S40" i="5"/>
  <c r="Q40" i="5"/>
  <c r="R40" i="5" s="1"/>
  <c r="P40" i="5"/>
  <c r="O40" i="5"/>
  <c r="N40" i="5"/>
  <c r="L40" i="5"/>
  <c r="K40" i="5"/>
  <c r="J40" i="5"/>
  <c r="S39" i="5"/>
  <c r="Q39" i="5"/>
  <c r="R39" i="5" s="1"/>
  <c r="P39" i="5"/>
  <c r="O39" i="5"/>
  <c r="N39" i="5"/>
  <c r="L39" i="5"/>
  <c r="K39" i="5"/>
  <c r="J39" i="5"/>
  <c r="S38" i="5"/>
  <c r="Q38" i="5"/>
  <c r="R38" i="5" s="1"/>
  <c r="P38" i="5"/>
  <c r="O38" i="5"/>
  <c r="N38" i="5"/>
  <c r="L38" i="5"/>
  <c r="K38" i="5"/>
  <c r="J38" i="5"/>
  <c r="S37" i="5"/>
  <c r="R37" i="5"/>
  <c r="Q37" i="5"/>
  <c r="P37" i="5"/>
  <c r="O37" i="5"/>
  <c r="N37" i="5"/>
  <c r="L37" i="5"/>
  <c r="K37" i="5"/>
  <c r="J37" i="5"/>
  <c r="S36" i="5"/>
  <c r="Q36" i="5"/>
  <c r="R36" i="5" s="1"/>
  <c r="P36" i="5"/>
  <c r="O36" i="5"/>
  <c r="N36" i="5"/>
  <c r="L36" i="5"/>
  <c r="K36" i="5"/>
  <c r="J36" i="5"/>
  <c r="S35" i="5"/>
  <c r="Q35" i="5"/>
  <c r="R35" i="5" s="1"/>
  <c r="P35" i="5"/>
  <c r="O35" i="5"/>
  <c r="N35" i="5"/>
  <c r="L35" i="5"/>
  <c r="K35" i="5"/>
  <c r="J35" i="5"/>
  <c r="S34" i="5"/>
  <c r="Q34" i="5"/>
  <c r="R34" i="5" s="1"/>
  <c r="P34" i="5"/>
  <c r="O34" i="5"/>
  <c r="N34" i="5"/>
  <c r="L34" i="5"/>
  <c r="K34" i="5"/>
  <c r="J34" i="5"/>
  <c r="S33" i="5"/>
  <c r="Q33" i="5"/>
  <c r="R33" i="5" s="1"/>
  <c r="P33" i="5"/>
  <c r="O33" i="5"/>
  <c r="N33" i="5"/>
  <c r="L33" i="5"/>
  <c r="K33" i="5"/>
  <c r="J33" i="5"/>
  <c r="S32" i="5"/>
  <c r="Q32" i="5"/>
  <c r="R32" i="5" s="1"/>
  <c r="P32" i="5"/>
  <c r="O32" i="5"/>
  <c r="N32" i="5"/>
  <c r="L32" i="5"/>
  <c r="K32" i="5"/>
  <c r="J32" i="5"/>
  <c r="S31" i="5"/>
  <c r="Q31" i="5"/>
  <c r="R31" i="5" s="1"/>
  <c r="P31" i="5"/>
  <c r="O31" i="5"/>
  <c r="N31" i="5"/>
  <c r="L31" i="5"/>
  <c r="K31" i="5"/>
  <c r="J31" i="5"/>
  <c r="S30" i="5"/>
  <c r="Q30" i="5"/>
  <c r="R30" i="5" s="1"/>
  <c r="P30" i="5"/>
  <c r="O30" i="5"/>
  <c r="N30" i="5"/>
  <c r="L30" i="5"/>
  <c r="K30" i="5"/>
  <c r="J30" i="5"/>
  <c r="S29" i="5"/>
  <c r="Q29" i="5"/>
  <c r="R29" i="5" s="1"/>
  <c r="P29" i="5"/>
  <c r="O29" i="5"/>
  <c r="N29" i="5"/>
  <c r="L29" i="5"/>
  <c r="K29" i="5"/>
  <c r="J29" i="5"/>
  <c r="S28" i="5"/>
  <c r="Q28" i="5"/>
  <c r="R28" i="5" s="1"/>
  <c r="P28" i="5"/>
  <c r="O28" i="5"/>
  <c r="N28" i="5"/>
  <c r="L28" i="5"/>
  <c r="K28" i="5"/>
  <c r="J28" i="5"/>
  <c r="S27" i="5"/>
  <c r="Q27" i="5"/>
  <c r="R27" i="5" s="1"/>
  <c r="P27" i="5"/>
  <c r="O27" i="5"/>
  <c r="N27" i="5"/>
  <c r="L27" i="5"/>
  <c r="K27" i="5"/>
  <c r="J27" i="5"/>
  <c r="S26" i="5"/>
  <c r="Q26" i="5"/>
  <c r="R26" i="5" s="1"/>
  <c r="P26" i="5"/>
  <c r="O26" i="5"/>
  <c r="N26" i="5"/>
  <c r="L26" i="5"/>
  <c r="K26" i="5"/>
  <c r="J26" i="5"/>
  <c r="S25" i="5"/>
  <c r="Q25" i="5"/>
  <c r="R25" i="5" s="1"/>
  <c r="P25" i="5"/>
  <c r="O25" i="5"/>
  <c r="N25" i="5"/>
  <c r="L25" i="5"/>
  <c r="K25" i="5"/>
  <c r="J25" i="5"/>
  <c r="S24" i="5"/>
  <c r="Q24" i="5"/>
  <c r="R24" i="5" s="1"/>
  <c r="P24" i="5"/>
  <c r="O24" i="5"/>
  <c r="N24" i="5"/>
  <c r="L24" i="5"/>
  <c r="K24" i="5"/>
  <c r="J24" i="5"/>
  <c r="S23" i="5"/>
  <c r="Q23" i="5"/>
  <c r="R23" i="5" s="1"/>
  <c r="P23" i="5"/>
  <c r="O23" i="5"/>
  <c r="N23" i="5"/>
  <c r="L23" i="5"/>
  <c r="K23" i="5"/>
  <c r="J23" i="5"/>
  <c r="S22" i="5"/>
  <c r="Q22" i="5"/>
  <c r="R22" i="5" s="1"/>
  <c r="P22" i="5"/>
  <c r="O22" i="5"/>
  <c r="N22" i="5"/>
  <c r="L22" i="5"/>
  <c r="K22" i="5"/>
  <c r="J22" i="5"/>
  <c r="S21" i="5"/>
  <c r="Q21" i="5"/>
  <c r="R21" i="5" s="1"/>
  <c r="P21" i="5"/>
  <c r="O21" i="5"/>
  <c r="N21" i="5"/>
  <c r="L21" i="5"/>
  <c r="K21" i="5"/>
  <c r="J21" i="5"/>
  <c r="S20" i="5"/>
  <c r="Q20" i="5"/>
  <c r="R20" i="5" s="1"/>
  <c r="P20" i="5"/>
  <c r="O20" i="5"/>
  <c r="N20" i="5"/>
  <c r="L20" i="5"/>
  <c r="K20" i="5"/>
  <c r="J20" i="5"/>
  <c r="S19" i="5"/>
  <c r="Q19" i="5"/>
  <c r="R19" i="5" s="1"/>
  <c r="P19" i="5"/>
  <c r="O19" i="5"/>
  <c r="N19" i="5"/>
  <c r="L19" i="5"/>
  <c r="K19" i="5"/>
  <c r="J19" i="5"/>
  <c r="S18" i="5"/>
  <c r="Q18" i="5"/>
  <c r="R18" i="5" s="1"/>
  <c r="P18" i="5"/>
  <c r="O18" i="5"/>
  <c r="N18" i="5"/>
  <c r="L18" i="5"/>
  <c r="K18" i="5"/>
  <c r="J18" i="5"/>
  <c r="S17" i="5"/>
  <c r="Q17" i="5"/>
  <c r="R17" i="5" s="1"/>
  <c r="P17" i="5"/>
  <c r="O17" i="5"/>
  <c r="N17" i="5"/>
  <c r="L17" i="5"/>
  <c r="K17" i="5"/>
  <c r="J17" i="5"/>
  <c r="S16" i="5"/>
  <c r="Q16" i="5"/>
  <c r="R16" i="5" s="1"/>
  <c r="P16" i="5"/>
  <c r="O16" i="5"/>
  <c r="N16" i="5"/>
  <c r="L16" i="5"/>
  <c r="K16" i="5"/>
  <c r="J16" i="5"/>
  <c r="S15" i="5"/>
  <c r="Q15" i="5"/>
  <c r="R15" i="5" s="1"/>
  <c r="P15" i="5"/>
  <c r="O15" i="5"/>
  <c r="N15" i="5"/>
  <c r="L15" i="5"/>
  <c r="K15" i="5"/>
  <c r="J15" i="5"/>
  <c r="S14" i="5"/>
  <c r="Q14" i="5"/>
  <c r="R14" i="5" s="1"/>
  <c r="P14" i="5"/>
  <c r="O14" i="5"/>
  <c r="N14" i="5"/>
  <c r="L14" i="5"/>
  <c r="K14" i="5"/>
  <c r="J14" i="5"/>
  <c r="S13" i="5"/>
  <c r="Q13" i="5"/>
  <c r="R13" i="5" s="1"/>
  <c r="P13" i="5"/>
  <c r="O13" i="5"/>
  <c r="N13" i="5"/>
  <c r="L13" i="5"/>
  <c r="K13" i="5"/>
  <c r="J13" i="5"/>
  <c r="S12" i="5"/>
  <c r="Q12" i="5"/>
  <c r="R12" i="5" s="1"/>
  <c r="P12" i="5"/>
  <c r="O12" i="5"/>
  <c r="N12" i="5"/>
  <c r="L12" i="5"/>
  <c r="K12" i="5"/>
  <c r="J12" i="5"/>
  <c r="S11" i="5"/>
  <c r="Q11" i="5"/>
  <c r="R11" i="5" s="1"/>
  <c r="P11" i="5"/>
  <c r="O11" i="5"/>
  <c r="N11" i="5"/>
  <c r="L11" i="5"/>
  <c r="K11" i="5"/>
  <c r="J11" i="5"/>
  <c r="S10" i="5"/>
  <c r="Q10" i="5"/>
  <c r="R10" i="5" s="1"/>
  <c r="P10" i="5"/>
  <c r="O10" i="5"/>
  <c r="N10" i="5"/>
  <c r="L10" i="5"/>
  <c r="M10" i="5" s="1"/>
  <c r="K10" i="5"/>
  <c r="J10" i="5"/>
  <c r="S9" i="5"/>
  <c r="Q9" i="5"/>
  <c r="R9" i="5" s="1"/>
  <c r="P9" i="5"/>
  <c r="O9" i="5"/>
  <c r="N9" i="5"/>
  <c r="L9" i="5"/>
  <c r="K9" i="5"/>
  <c r="J9" i="5"/>
  <c r="S8" i="5"/>
  <c r="Q8" i="5"/>
  <c r="R8" i="5" s="1"/>
  <c r="P8" i="5"/>
  <c r="O8" i="5"/>
  <c r="N8" i="5"/>
  <c r="L8" i="5"/>
  <c r="K8" i="5"/>
  <c r="J8" i="5"/>
  <c r="S7" i="5"/>
  <c r="Q7" i="5"/>
  <c r="R7" i="5" s="1"/>
  <c r="P7" i="5"/>
  <c r="O7" i="5"/>
  <c r="N7" i="5"/>
  <c r="L7" i="5"/>
  <c r="K7" i="5"/>
  <c r="J7" i="5"/>
  <c r="A7" i="5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S6" i="5"/>
  <c r="Q6" i="5"/>
  <c r="R6" i="5" s="1"/>
  <c r="P6" i="5"/>
  <c r="O6" i="5"/>
  <c r="N6" i="5"/>
  <c r="L6" i="5"/>
  <c r="K6" i="5"/>
  <c r="J6" i="5"/>
  <c r="M6" i="5" s="1"/>
  <c r="M14" i="5" l="1"/>
  <c r="M38" i="5"/>
  <c r="B22" i="18"/>
  <c r="I8" i="18"/>
  <c r="H8" i="18"/>
  <c r="G8" i="18"/>
  <c r="M16" i="5"/>
  <c r="B32" i="14"/>
  <c r="D4" i="27" s="1"/>
  <c r="I8" i="14"/>
  <c r="H8" i="14"/>
  <c r="G8" i="14"/>
  <c r="I8" i="19"/>
  <c r="G8" i="19"/>
  <c r="H8" i="19"/>
  <c r="M9" i="5"/>
  <c r="B32" i="15"/>
  <c r="D5" i="27" s="1"/>
  <c r="G8" i="15"/>
  <c r="I8" i="15"/>
  <c r="G6" i="23"/>
  <c r="C12" i="25"/>
  <c r="M30" i="5"/>
  <c r="M36" i="5"/>
  <c r="U36" i="5" s="1"/>
  <c r="H8" i="16"/>
  <c r="I8" i="16"/>
  <c r="G8" i="16"/>
  <c r="B32" i="17"/>
  <c r="D7" i="27" s="1"/>
  <c r="G8" i="17"/>
  <c r="I8" i="17"/>
  <c r="Z5" i="23"/>
  <c r="AE5" i="23" s="1"/>
  <c r="C11" i="25"/>
  <c r="S4" i="23"/>
  <c r="X4" i="23" s="1"/>
  <c r="C10" i="25"/>
  <c r="L7" i="23"/>
  <c r="Q7" i="23" s="1"/>
  <c r="C13" i="25"/>
  <c r="E8" i="26"/>
  <c r="H8" i="26" s="1"/>
  <c r="E8" i="17"/>
  <c r="H8" i="17" s="1"/>
  <c r="E8" i="19"/>
  <c r="E8" i="16"/>
  <c r="E8" i="14"/>
  <c r="E8" i="13"/>
  <c r="E8" i="15"/>
  <c r="H8" i="15" s="1"/>
  <c r="G9" i="23"/>
  <c r="B22" i="14"/>
  <c r="C22" i="14" s="1"/>
  <c r="E22" i="14" s="1"/>
  <c r="J22" i="14" s="1"/>
  <c r="K22" i="14" s="1"/>
  <c r="L202" i="9"/>
  <c r="N202" i="9" s="1"/>
  <c r="L247" i="9"/>
  <c r="N247" i="9" s="1"/>
  <c r="L245" i="9"/>
  <c r="N245" i="9" s="1"/>
  <c r="L244" i="9"/>
  <c r="N244" i="9" s="1"/>
  <c r="L246" i="9"/>
  <c r="N246" i="9" s="1"/>
  <c r="C22" i="18"/>
  <c r="E22" i="18" s="1"/>
  <c r="M35" i="5"/>
  <c r="C32" i="15"/>
  <c r="B11" i="25" s="1"/>
  <c r="D11" i="25" s="1"/>
  <c r="E5" i="23"/>
  <c r="F12" i="13"/>
  <c r="J16" i="13" s="1"/>
  <c r="K16" i="13" s="1"/>
  <c r="D24" i="13"/>
  <c r="D23" i="13"/>
  <c r="D27" i="13"/>
  <c r="D25" i="13"/>
  <c r="D32" i="13"/>
  <c r="G3" i="23" s="1"/>
  <c r="D30" i="13"/>
  <c r="D29" i="13"/>
  <c r="D21" i="13"/>
  <c r="D26" i="13"/>
  <c r="D28" i="13"/>
  <c r="D22" i="13"/>
  <c r="M22" i="5"/>
  <c r="M25" i="5"/>
  <c r="U25" i="5" s="1"/>
  <c r="L31" i="9"/>
  <c r="N31" i="9" s="1"/>
  <c r="T17" i="5"/>
  <c r="T23" i="5"/>
  <c r="M31" i="5"/>
  <c r="M34" i="5"/>
  <c r="M37" i="5"/>
  <c r="T7" i="5"/>
  <c r="M12" i="5"/>
  <c r="M15" i="5"/>
  <c r="E7" i="23"/>
  <c r="T28" i="5"/>
  <c r="M8" i="5"/>
  <c r="M18" i="5"/>
  <c r="U18" i="5" s="1"/>
  <c r="M27" i="5"/>
  <c r="A23" i="13"/>
  <c r="T22" i="5"/>
  <c r="C32" i="14"/>
  <c r="A24" i="16"/>
  <c r="M42" i="5"/>
  <c r="M45" i="5"/>
  <c r="M20" i="5"/>
  <c r="M23" i="5"/>
  <c r="U23" i="5" s="1"/>
  <c r="M26" i="5"/>
  <c r="U26" i="5" s="1"/>
  <c r="A24" i="15"/>
  <c r="A25" i="15" s="1"/>
  <c r="A26" i="15" s="1"/>
  <c r="B23" i="14"/>
  <c r="C23" i="14" s="1"/>
  <c r="E23" i="14" s="1"/>
  <c r="J23" i="14" s="1"/>
  <c r="K23" i="14" s="1"/>
  <c r="A24" i="14"/>
  <c r="R9" i="22"/>
  <c r="P9" i="22"/>
  <c r="T9" i="22"/>
  <c r="V9" i="22"/>
  <c r="N9" i="22"/>
  <c r="F14" i="20"/>
  <c r="F23" i="20" s="1"/>
  <c r="H6" i="22"/>
  <c r="F11" i="20"/>
  <c r="B23" i="19"/>
  <c r="C23" i="19" s="1"/>
  <c r="E23" i="19" s="1"/>
  <c r="B32" i="19"/>
  <c r="B23" i="18"/>
  <c r="C23" i="18" s="1"/>
  <c r="E23" i="18" s="1"/>
  <c r="B32" i="18"/>
  <c r="D8" i="27" s="1"/>
  <c r="B24" i="16"/>
  <c r="B32" i="16"/>
  <c r="B22" i="15"/>
  <c r="A17" i="6"/>
  <c r="T9" i="5"/>
  <c r="T11" i="5"/>
  <c r="M13" i="5"/>
  <c r="M24" i="5"/>
  <c r="T25" i="5"/>
  <c r="T26" i="5"/>
  <c r="T36" i="5"/>
  <c r="M39" i="5"/>
  <c r="L101" i="9"/>
  <c r="N101" i="9" s="1"/>
  <c r="T16" i="5"/>
  <c r="U16" i="5" s="1"/>
  <c r="M19" i="5"/>
  <c r="T39" i="5"/>
  <c r="M41" i="5"/>
  <c r="T32" i="5"/>
  <c r="T13" i="5"/>
  <c r="T21" i="5"/>
  <c r="T18" i="5"/>
  <c r="T35" i="5"/>
  <c r="U35" i="5" s="1"/>
  <c r="M11" i="5"/>
  <c r="M33" i="5"/>
  <c r="L63" i="9"/>
  <c r="N63" i="9" s="1"/>
  <c r="L170" i="9"/>
  <c r="N170" i="9" s="1"/>
  <c r="T43" i="5"/>
  <c r="T12" i="5"/>
  <c r="T45" i="5"/>
  <c r="T8" i="5"/>
  <c r="M7" i="5"/>
  <c r="U7" i="5" s="1"/>
  <c r="T27" i="5"/>
  <c r="M29" i="5"/>
  <c r="M40" i="5"/>
  <c r="U40" i="5" s="1"/>
  <c r="T41" i="5"/>
  <c r="T42" i="5"/>
  <c r="L15" i="9"/>
  <c r="N15" i="9" s="1"/>
  <c r="T37" i="5"/>
  <c r="U37" i="5" s="1"/>
  <c r="T38" i="5"/>
  <c r="T6" i="5"/>
  <c r="T20" i="5"/>
  <c r="T19" i="5"/>
  <c r="M21" i="5"/>
  <c r="M32" i="5"/>
  <c r="U32" i="5" s="1"/>
  <c r="T33" i="5"/>
  <c r="U33" i="5" s="1"/>
  <c r="T34" i="5"/>
  <c r="U34" i="5" s="1"/>
  <c r="T44" i="5"/>
  <c r="L47" i="9"/>
  <c r="N47" i="9" s="1"/>
  <c r="T24" i="5"/>
  <c r="T10" i="5"/>
  <c r="U10" i="5" s="1"/>
  <c r="M17" i="5"/>
  <c r="M28" i="5"/>
  <c r="T29" i="5"/>
  <c r="T40" i="5"/>
  <c r="M43" i="5"/>
  <c r="B24" i="19"/>
  <c r="A25" i="19"/>
  <c r="B22" i="19"/>
  <c r="C22" i="19" s="1"/>
  <c r="E22" i="19" s="1"/>
  <c r="B21" i="19"/>
  <c r="C21" i="19" s="1"/>
  <c r="E21" i="19" s="1"/>
  <c r="B21" i="18"/>
  <c r="A26" i="18"/>
  <c r="B25" i="18"/>
  <c r="C25" i="18" s="1"/>
  <c r="E25" i="18" s="1"/>
  <c r="B24" i="18"/>
  <c r="B23" i="17"/>
  <c r="L65" i="9"/>
  <c r="N65" i="9" s="1"/>
  <c r="L7" i="9"/>
  <c r="N7" i="9" s="1"/>
  <c r="L23" i="9"/>
  <c r="N23" i="9" s="1"/>
  <c r="L39" i="9"/>
  <c r="N39" i="9" s="1"/>
  <c r="L55" i="9"/>
  <c r="N55" i="9" s="1"/>
  <c r="L69" i="9"/>
  <c r="N69" i="9" s="1"/>
  <c r="L19" i="9"/>
  <c r="N19" i="9" s="1"/>
  <c r="L35" i="9"/>
  <c r="N35" i="9" s="1"/>
  <c r="L51" i="9"/>
  <c r="N51" i="9" s="1"/>
  <c r="L117" i="9"/>
  <c r="N117" i="9" s="1"/>
  <c r="L234" i="9"/>
  <c r="N234" i="9" s="1"/>
  <c r="L11" i="9"/>
  <c r="N11" i="9" s="1"/>
  <c r="L27" i="9"/>
  <c r="N27" i="9" s="1"/>
  <c r="L43" i="9"/>
  <c r="N43" i="9" s="1"/>
  <c r="L59" i="9"/>
  <c r="N59" i="9" s="1"/>
  <c r="L85" i="9"/>
  <c r="N85" i="9" s="1"/>
  <c r="A26" i="17"/>
  <c r="B25" i="17"/>
  <c r="B22" i="17"/>
  <c r="B21" i="17"/>
  <c r="B24" i="17"/>
  <c r="B23" i="16"/>
  <c r="B21" i="16"/>
  <c r="C21" i="16" s="1"/>
  <c r="E21" i="16" s="1"/>
  <c r="B22" i="16"/>
  <c r="B23" i="15"/>
  <c r="C23" i="15" s="1"/>
  <c r="E23" i="15" s="1"/>
  <c r="J23" i="15" s="1"/>
  <c r="K23" i="15" s="1"/>
  <c r="B21" i="15"/>
  <c r="C21" i="15" s="1"/>
  <c r="E21" i="15" s="1"/>
  <c r="B21" i="14"/>
  <c r="B24" i="14"/>
  <c r="J4" i="13"/>
  <c r="K4" i="13" s="1"/>
  <c r="L4" i="9"/>
  <c r="N4" i="9" s="1"/>
  <c r="L8" i="9"/>
  <c r="N8" i="9" s="1"/>
  <c r="L12" i="9"/>
  <c r="N12" i="9" s="1"/>
  <c r="L16" i="9"/>
  <c r="N16" i="9" s="1"/>
  <c r="L20" i="9"/>
  <c r="N20" i="9" s="1"/>
  <c r="L24" i="9"/>
  <c r="N24" i="9" s="1"/>
  <c r="L28" i="9"/>
  <c r="N28" i="9" s="1"/>
  <c r="L32" i="9"/>
  <c r="N32" i="9" s="1"/>
  <c r="L36" i="9"/>
  <c r="N36" i="9" s="1"/>
  <c r="L40" i="9"/>
  <c r="N40" i="9" s="1"/>
  <c r="L44" i="9"/>
  <c r="N44" i="9" s="1"/>
  <c r="L48" i="9"/>
  <c r="N48" i="9" s="1"/>
  <c r="L52" i="9"/>
  <c r="N52" i="9" s="1"/>
  <c r="L56" i="9"/>
  <c r="N56" i="9" s="1"/>
  <c r="L60" i="9"/>
  <c r="N60" i="9" s="1"/>
  <c r="L81" i="9"/>
  <c r="N81" i="9" s="1"/>
  <c r="L97" i="9"/>
  <c r="N97" i="9" s="1"/>
  <c r="L113" i="9"/>
  <c r="N113" i="9" s="1"/>
  <c r="L154" i="9"/>
  <c r="N154" i="9" s="1"/>
  <c r="L218" i="9"/>
  <c r="N218" i="9" s="1"/>
  <c r="L5" i="9"/>
  <c r="N5" i="9" s="1"/>
  <c r="L9" i="9"/>
  <c r="N9" i="9" s="1"/>
  <c r="L13" i="9"/>
  <c r="N13" i="9" s="1"/>
  <c r="L17" i="9"/>
  <c r="N17" i="9" s="1"/>
  <c r="L21" i="9"/>
  <c r="N21" i="9" s="1"/>
  <c r="L25" i="9"/>
  <c r="N25" i="9" s="1"/>
  <c r="L29" i="9"/>
  <c r="N29" i="9" s="1"/>
  <c r="L33" i="9"/>
  <c r="N33" i="9" s="1"/>
  <c r="L37" i="9"/>
  <c r="N37" i="9" s="1"/>
  <c r="L41" i="9"/>
  <c r="N41" i="9" s="1"/>
  <c r="L45" i="9"/>
  <c r="N45" i="9" s="1"/>
  <c r="L49" i="9"/>
  <c r="N49" i="9" s="1"/>
  <c r="L53" i="9"/>
  <c r="N53" i="9" s="1"/>
  <c r="L57" i="9"/>
  <c r="N57" i="9" s="1"/>
  <c r="L61" i="9"/>
  <c r="N61" i="9" s="1"/>
  <c r="L77" i="9"/>
  <c r="N77" i="9" s="1"/>
  <c r="L93" i="9"/>
  <c r="N93" i="9" s="1"/>
  <c r="L109" i="9"/>
  <c r="N109" i="9" s="1"/>
  <c r="L125" i="9"/>
  <c r="N125" i="9" s="1"/>
  <c r="L138" i="9"/>
  <c r="N138" i="9" s="1"/>
  <c r="L233" i="9"/>
  <c r="L229" i="9"/>
  <c r="N229" i="9" s="1"/>
  <c r="L225" i="9"/>
  <c r="N225" i="9" s="1"/>
  <c r="L221" i="9"/>
  <c r="N221" i="9" s="1"/>
  <c r="L217" i="9"/>
  <c r="N217" i="9" s="1"/>
  <c r="L213" i="9"/>
  <c r="N213" i="9" s="1"/>
  <c r="L209" i="9"/>
  <c r="N209" i="9" s="1"/>
  <c r="L205" i="9"/>
  <c r="N205" i="9" s="1"/>
  <c r="L201" i="9"/>
  <c r="N201" i="9" s="1"/>
  <c r="L197" i="9"/>
  <c r="N197" i="9" s="1"/>
  <c r="L193" i="9"/>
  <c r="N193" i="9" s="1"/>
  <c r="L189" i="9"/>
  <c r="N189" i="9" s="1"/>
  <c r="L185" i="9"/>
  <c r="N185" i="9" s="1"/>
  <c r="L181" i="9"/>
  <c r="N181" i="9" s="1"/>
  <c r="L177" i="9"/>
  <c r="N177" i="9" s="1"/>
  <c r="L173" i="9"/>
  <c r="N173" i="9" s="1"/>
  <c r="L169" i="9"/>
  <c r="N169" i="9" s="1"/>
  <c r="L165" i="9"/>
  <c r="N165" i="9" s="1"/>
  <c r="L161" i="9"/>
  <c r="N161" i="9" s="1"/>
  <c r="L157" i="9"/>
  <c r="N157" i="9" s="1"/>
  <c r="L153" i="9"/>
  <c r="N153" i="9" s="1"/>
  <c r="L149" i="9"/>
  <c r="N149" i="9" s="1"/>
  <c r="L145" i="9"/>
  <c r="N145" i="9" s="1"/>
  <c r="L141" i="9"/>
  <c r="N141" i="9" s="1"/>
  <c r="L137" i="9"/>
  <c r="N137" i="9" s="1"/>
  <c r="L133" i="9"/>
  <c r="N133" i="9" s="1"/>
  <c r="L129" i="9"/>
  <c r="N129" i="9" s="1"/>
  <c r="L232" i="9"/>
  <c r="N232" i="9" s="1"/>
  <c r="L228" i="9"/>
  <c r="N228" i="9" s="1"/>
  <c r="L224" i="9"/>
  <c r="N224" i="9" s="1"/>
  <c r="L220" i="9"/>
  <c r="N220" i="9" s="1"/>
  <c r="L216" i="9"/>
  <c r="N216" i="9" s="1"/>
  <c r="L212" i="9"/>
  <c r="N212" i="9" s="1"/>
  <c r="L208" i="9"/>
  <c r="N208" i="9" s="1"/>
  <c r="L204" i="9"/>
  <c r="N204" i="9" s="1"/>
  <c r="L200" i="9"/>
  <c r="N200" i="9" s="1"/>
  <c r="L196" i="9"/>
  <c r="N196" i="9" s="1"/>
  <c r="L192" i="9"/>
  <c r="N192" i="9" s="1"/>
  <c r="L188" i="9"/>
  <c r="N188" i="9" s="1"/>
  <c r="L184" i="9"/>
  <c r="N184" i="9" s="1"/>
  <c r="L180" i="9"/>
  <c r="N180" i="9" s="1"/>
  <c r="L176" i="9"/>
  <c r="N176" i="9" s="1"/>
  <c r="L172" i="9"/>
  <c r="N172" i="9" s="1"/>
  <c r="L168" i="9"/>
  <c r="N168" i="9" s="1"/>
  <c r="L164" i="9"/>
  <c r="N164" i="9" s="1"/>
  <c r="L160" i="9"/>
  <c r="N160" i="9" s="1"/>
  <c r="L156" i="9"/>
  <c r="N156" i="9" s="1"/>
  <c r="L152" i="9"/>
  <c r="N152" i="9" s="1"/>
  <c r="L148" i="9"/>
  <c r="N148" i="9" s="1"/>
  <c r="L144" i="9"/>
  <c r="N144" i="9" s="1"/>
  <c r="L140" i="9"/>
  <c r="N140" i="9" s="1"/>
  <c r="L136" i="9"/>
  <c r="N136" i="9" s="1"/>
  <c r="L132" i="9"/>
  <c r="N132" i="9" s="1"/>
  <c r="L128" i="9"/>
  <c r="N128" i="9" s="1"/>
  <c r="L243" i="9"/>
  <c r="N243" i="9" s="1"/>
  <c r="L242" i="9"/>
  <c r="N242" i="9" s="1"/>
  <c r="L241" i="9"/>
  <c r="N241" i="9" s="1"/>
  <c r="L240" i="9"/>
  <c r="N240" i="9" s="1"/>
  <c r="L235" i="9"/>
  <c r="N235" i="9" s="1"/>
  <c r="L231" i="9"/>
  <c r="N231" i="9" s="1"/>
  <c r="L227" i="9"/>
  <c r="N227" i="9" s="1"/>
  <c r="L223" i="9"/>
  <c r="N223" i="9" s="1"/>
  <c r="L219" i="9"/>
  <c r="N219" i="9" s="1"/>
  <c r="L215" i="9"/>
  <c r="N215" i="9" s="1"/>
  <c r="L211" i="9"/>
  <c r="N211" i="9" s="1"/>
  <c r="L207" i="9"/>
  <c r="N207" i="9" s="1"/>
  <c r="L203" i="9"/>
  <c r="N203" i="9" s="1"/>
  <c r="L199" i="9"/>
  <c r="N199" i="9" s="1"/>
  <c r="L195" i="9"/>
  <c r="N195" i="9" s="1"/>
  <c r="L191" i="9"/>
  <c r="N191" i="9" s="1"/>
  <c r="L187" i="9"/>
  <c r="N187" i="9" s="1"/>
  <c r="L183" i="9"/>
  <c r="N183" i="9" s="1"/>
  <c r="L179" i="9"/>
  <c r="N179" i="9" s="1"/>
  <c r="L175" i="9"/>
  <c r="N175" i="9" s="1"/>
  <c r="L171" i="9"/>
  <c r="N171" i="9" s="1"/>
  <c r="L167" i="9"/>
  <c r="N167" i="9" s="1"/>
  <c r="L163" i="9"/>
  <c r="N163" i="9" s="1"/>
  <c r="L159" i="9"/>
  <c r="N159" i="9" s="1"/>
  <c r="L155" i="9"/>
  <c r="N155" i="9" s="1"/>
  <c r="L151" i="9"/>
  <c r="N151" i="9" s="1"/>
  <c r="L147" i="9"/>
  <c r="N147" i="9" s="1"/>
  <c r="L143" i="9"/>
  <c r="N143" i="9" s="1"/>
  <c r="L139" i="9"/>
  <c r="N139" i="9" s="1"/>
  <c r="L135" i="9"/>
  <c r="N135" i="9" s="1"/>
  <c r="L131" i="9"/>
  <c r="N131" i="9" s="1"/>
  <c r="L222" i="9"/>
  <c r="N222" i="9" s="1"/>
  <c r="L206" i="9"/>
  <c r="N206" i="9" s="1"/>
  <c r="L190" i="9"/>
  <c r="N190" i="9" s="1"/>
  <c r="L174" i="9"/>
  <c r="N174" i="9" s="1"/>
  <c r="L158" i="9"/>
  <c r="N158" i="9" s="1"/>
  <c r="L142" i="9"/>
  <c r="N142" i="9" s="1"/>
  <c r="L124" i="9"/>
  <c r="N124" i="9" s="1"/>
  <c r="L120" i="9"/>
  <c r="N120" i="9" s="1"/>
  <c r="L116" i="9"/>
  <c r="N116" i="9" s="1"/>
  <c r="L112" i="9"/>
  <c r="N112" i="9" s="1"/>
  <c r="L108" i="9"/>
  <c r="N108" i="9" s="1"/>
  <c r="L104" i="9"/>
  <c r="N104" i="9" s="1"/>
  <c r="L100" i="9"/>
  <c r="N100" i="9" s="1"/>
  <c r="L96" i="9"/>
  <c r="N96" i="9" s="1"/>
  <c r="L92" i="9"/>
  <c r="N92" i="9" s="1"/>
  <c r="L88" i="9"/>
  <c r="N88" i="9" s="1"/>
  <c r="L84" i="9"/>
  <c r="N84" i="9" s="1"/>
  <c r="L80" i="9"/>
  <c r="N80" i="9" s="1"/>
  <c r="L76" i="9"/>
  <c r="N76" i="9" s="1"/>
  <c r="L72" i="9"/>
  <c r="N72" i="9" s="1"/>
  <c r="L68" i="9"/>
  <c r="N68" i="9" s="1"/>
  <c r="L64" i="9"/>
  <c r="N64" i="9" s="1"/>
  <c r="L226" i="9"/>
  <c r="N226" i="9" s="1"/>
  <c r="L210" i="9"/>
  <c r="N210" i="9" s="1"/>
  <c r="L194" i="9"/>
  <c r="N194" i="9" s="1"/>
  <c r="L178" i="9"/>
  <c r="N178" i="9" s="1"/>
  <c r="L162" i="9"/>
  <c r="N162" i="9" s="1"/>
  <c r="L146" i="9"/>
  <c r="N146" i="9" s="1"/>
  <c r="L130" i="9"/>
  <c r="N130" i="9" s="1"/>
  <c r="L127" i="9"/>
  <c r="N127" i="9" s="1"/>
  <c r="L123" i="9"/>
  <c r="N123" i="9" s="1"/>
  <c r="L119" i="9"/>
  <c r="N119" i="9" s="1"/>
  <c r="L115" i="9"/>
  <c r="N115" i="9" s="1"/>
  <c r="L111" i="9"/>
  <c r="N111" i="9" s="1"/>
  <c r="L107" i="9"/>
  <c r="N107" i="9" s="1"/>
  <c r="L103" i="9"/>
  <c r="N103" i="9" s="1"/>
  <c r="L99" i="9"/>
  <c r="N99" i="9" s="1"/>
  <c r="L95" i="9"/>
  <c r="N95" i="9" s="1"/>
  <c r="L91" i="9"/>
  <c r="N91" i="9" s="1"/>
  <c r="L87" i="9"/>
  <c r="N87" i="9" s="1"/>
  <c r="L83" i="9"/>
  <c r="N83" i="9" s="1"/>
  <c r="L79" i="9"/>
  <c r="N79" i="9" s="1"/>
  <c r="L75" i="9"/>
  <c r="N75" i="9" s="1"/>
  <c r="L71" i="9"/>
  <c r="N71" i="9" s="1"/>
  <c r="L67" i="9"/>
  <c r="N67" i="9" s="1"/>
  <c r="L230" i="9"/>
  <c r="N230" i="9" s="1"/>
  <c r="L214" i="9"/>
  <c r="N214" i="9" s="1"/>
  <c r="L198" i="9"/>
  <c r="N198" i="9" s="1"/>
  <c r="L182" i="9"/>
  <c r="N182" i="9" s="1"/>
  <c r="L166" i="9"/>
  <c r="N166" i="9" s="1"/>
  <c r="L150" i="9"/>
  <c r="N150" i="9" s="1"/>
  <c r="L134" i="9"/>
  <c r="N134" i="9" s="1"/>
  <c r="L126" i="9"/>
  <c r="N126" i="9" s="1"/>
  <c r="L122" i="9"/>
  <c r="N122" i="9" s="1"/>
  <c r="L118" i="9"/>
  <c r="N118" i="9" s="1"/>
  <c r="L114" i="9"/>
  <c r="N114" i="9" s="1"/>
  <c r="L110" i="9"/>
  <c r="N110" i="9" s="1"/>
  <c r="L106" i="9"/>
  <c r="N106" i="9" s="1"/>
  <c r="L102" i="9"/>
  <c r="N102" i="9" s="1"/>
  <c r="L98" i="9"/>
  <c r="N98" i="9" s="1"/>
  <c r="L94" i="9"/>
  <c r="N94" i="9" s="1"/>
  <c r="L90" i="9"/>
  <c r="N90" i="9" s="1"/>
  <c r="L86" i="9"/>
  <c r="N86" i="9" s="1"/>
  <c r="L82" i="9"/>
  <c r="N82" i="9" s="1"/>
  <c r="L78" i="9"/>
  <c r="N78" i="9" s="1"/>
  <c r="L74" i="9"/>
  <c r="N74" i="9" s="1"/>
  <c r="L70" i="9"/>
  <c r="N70" i="9" s="1"/>
  <c r="L66" i="9"/>
  <c r="N66" i="9" s="1"/>
  <c r="L6" i="9"/>
  <c r="N6" i="9" s="1"/>
  <c r="L10" i="9"/>
  <c r="N10" i="9" s="1"/>
  <c r="L14" i="9"/>
  <c r="N14" i="9" s="1"/>
  <c r="L18" i="9"/>
  <c r="N18" i="9" s="1"/>
  <c r="L22" i="9"/>
  <c r="N22" i="9" s="1"/>
  <c r="L26" i="9"/>
  <c r="N26" i="9" s="1"/>
  <c r="L30" i="9"/>
  <c r="N30" i="9" s="1"/>
  <c r="L34" i="9"/>
  <c r="N34" i="9" s="1"/>
  <c r="L38" i="9"/>
  <c r="N38" i="9" s="1"/>
  <c r="L42" i="9"/>
  <c r="N42" i="9" s="1"/>
  <c r="L46" i="9"/>
  <c r="N46" i="9" s="1"/>
  <c r="L50" i="9"/>
  <c r="N50" i="9" s="1"/>
  <c r="L54" i="9"/>
  <c r="N54" i="9" s="1"/>
  <c r="L58" i="9"/>
  <c r="N58" i="9" s="1"/>
  <c r="L62" i="9"/>
  <c r="N62" i="9" s="1"/>
  <c r="L73" i="9"/>
  <c r="N73" i="9" s="1"/>
  <c r="L89" i="9"/>
  <c r="N89" i="9" s="1"/>
  <c r="L105" i="9"/>
  <c r="N105" i="9" s="1"/>
  <c r="L121" i="9"/>
  <c r="N121" i="9" s="1"/>
  <c r="L186" i="9"/>
  <c r="N186" i="9" s="1"/>
  <c r="N233" i="9"/>
  <c r="I4" i="6"/>
  <c r="E12" i="6"/>
  <c r="U6" i="5"/>
  <c r="U9" i="5"/>
  <c r="U20" i="5"/>
  <c r="U41" i="5"/>
  <c r="U42" i="5"/>
  <c r="U15" i="5"/>
  <c r="U21" i="5"/>
  <c r="U22" i="5"/>
  <c r="U38" i="5"/>
  <c r="U11" i="5"/>
  <c r="U12" i="5"/>
  <c r="T14" i="5"/>
  <c r="U14" i="5" s="1"/>
  <c r="T15" i="5"/>
  <c r="U17" i="5"/>
  <c r="U27" i="5"/>
  <c r="U28" i="5"/>
  <c r="T30" i="5"/>
  <c r="U30" i="5" s="1"/>
  <c r="T31" i="5"/>
  <c r="U43" i="5"/>
  <c r="U44" i="5"/>
  <c r="U45" i="5"/>
  <c r="B25" i="15" l="1"/>
  <c r="E4" i="23"/>
  <c r="AD5" i="23"/>
  <c r="B24" i="15"/>
  <c r="I8" i="13"/>
  <c r="H8" i="13"/>
  <c r="G8" i="13"/>
  <c r="C21" i="17"/>
  <c r="E21" i="17" s="1"/>
  <c r="U39" i="5"/>
  <c r="S9" i="23"/>
  <c r="W9" i="23" s="1"/>
  <c r="D9" i="27"/>
  <c r="C4" i="25"/>
  <c r="S6" i="23"/>
  <c r="W6" i="23" s="1"/>
  <c r="D6" i="27"/>
  <c r="W4" i="23"/>
  <c r="Y4" i="23" s="1"/>
  <c r="C24" i="17"/>
  <c r="E24" i="17" s="1"/>
  <c r="F24" i="17" s="1"/>
  <c r="C22" i="17"/>
  <c r="E22" i="17" s="1"/>
  <c r="C23" i="17"/>
  <c r="E23" i="17" s="1"/>
  <c r="F23" i="17" s="1"/>
  <c r="C32" i="17"/>
  <c r="B13" i="25" s="1"/>
  <c r="D13" i="25" s="1"/>
  <c r="C25" i="17"/>
  <c r="E25" i="17" s="1"/>
  <c r="F25" i="17" s="1"/>
  <c r="S8" i="23"/>
  <c r="W8" i="23" s="1"/>
  <c r="C14" i="25"/>
  <c r="F4" i="23"/>
  <c r="H4" i="23" s="1"/>
  <c r="B10" i="25"/>
  <c r="D10" i="25" s="1"/>
  <c r="C24" i="16"/>
  <c r="E24" i="16" s="1"/>
  <c r="J24" i="16" s="1"/>
  <c r="K24" i="16" s="1"/>
  <c r="C24" i="15"/>
  <c r="E24" i="15" s="1"/>
  <c r="F24" i="15" s="1"/>
  <c r="C22" i="16"/>
  <c r="E22" i="16" s="1"/>
  <c r="J22" i="16" s="1"/>
  <c r="K22" i="16" s="1"/>
  <c r="C24" i="19"/>
  <c r="E24" i="19" s="1"/>
  <c r="C25" i="15"/>
  <c r="E25" i="15" s="1"/>
  <c r="C23" i="16"/>
  <c r="E23" i="16" s="1"/>
  <c r="J23" i="16" s="1"/>
  <c r="K23" i="16" s="1"/>
  <c r="C22" i="15"/>
  <c r="E22" i="15" s="1"/>
  <c r="J22" i="15" s="1"/>
  <c r="K22" i="15" s="1"/>
  <c r="J8" i="26"/>
  <c r="K8" i="26" s="1"/>
  <c r="C23" i="26"/>
  <c r="E23" i="26" s="1"/>
  <c r="C21" i="26"/>
  <c r="E21" i="26" s="1"/>
  <c r="C22" i="26"/>
  <c r="E22" i="26" s="1"/>
  <c r="C32" i="26"/>
  <c r="C24" i="26"/>
  <c r="E24" i="26" s="1"/>
  <c r="C25" i="26"/>
  <c r="E25" i="26" s="1"/>
  <c r="C26" i="26"/>
  <c r="E26" i="26" s="1"/>
  <c r="C27" i="26"/>
  <c r="E27" i="26" s="1"/>
  <c r="C28" i="26"/>
  <c r="E28" i="26" s="1"/>
  <c r="C29" i="26"/>
  <c r="E29" i="26" s="1"/>
  <c r="C30" i="26"/>
  <c r="E30" i="26" s="1"/>
  <c r="G12" i="23"/>
  <c r="C16" i="25"/>
  <c r="F22" i="14"/>
  <c r="B23" i="13"/>
  <c r="C23" i="13" s="1"/>
  <c r="E23" i="13" s="1"/>
  <c r="J23" i="13" s="1"/>
  <c r="K23" i="13" s="1"/>
  <c r="AF5" i="23"/>
  <c r="E32" i="14"/>
  <c r="J32" i="14" s="1"/>
  <c r="L12" i="23"/>
  <c r="F25" i="15"/>
  <c r="J25" i="15"/>
  <c r="K25" i="15" s="1"/>
  <c r="J21" i="19"/>
  <c r="K21" i="19" s="1"/>
  <c r="F21" i="19"/>
  <c r="F21" i="15"/>
  <c r="J21" i="15"/>
  <c r="K21" i="15" s="1"/>
  <c r="B22" i="13"/>
  <c r="B32" i="13"/>
  <c r="D3" i="27" s="1"/>
  <c r="F22" i="19"/>
  <c r="J22" i="19"/>
  <c r="K22" i="19" s="1"/>
  <c r="E8" i="23"/>
  <c r="C32" i="18"/>
  <c r="B14" i="25" s="1"/>
  <c r="E6" i="23"/>
  <c r="J6" i="23" s="1"/>
  <c r="C32" i="16"/>
  <c r="B12" i="25" s="1"/>
  <c r="D12" i="25" s="1"/>
  <c r="C24" i="18"/>
  <c r="E24" i="18" s="1"/>
  <c r="F23" i="18"/>
  <c r="J23" i="18"/>
  <c r="K23" i="18" s="1"/>
  <c r="A25" i="16"/>
  <c r="J7" i="23"/>
  <c r="A24" i="13"/>
  <c r="F25" i="18"/>
  <c r="J25" i="18"/>
  <c r="K25" i="18" s="1"/>
  <c r="F24" i="19"/>
  <c r="J24" i="19"/>
  <c r="K24" i="19" s="1"/>
  <c r="E9" i="23"/>
  <c r="C32" i="19"/>
  <c r="B15" i="25" s="1"/>
  <c r="J4" i="23"/>
  <c r="E32" i="17"/>
  <c r="F7" i="23"/>
  <c r="H7" i="23" s="1"/>
  <c r="U31" i="5"/>
  <c r="F23" i="19"/>
  <c r="J23" i="19"/>
  <c r="K23" i="19" s="1"/>
  <c r="J5" i="23"/>
  <c r="C21" i="18"/>
  <c r="E21" i="18" s="1"/>
  <c r="U8" i="5"/>
  <c r="E32" i="15"/>
  <c r="F5" i="23"/>
  <c r="H5" i="23" s="1"/>
  <c r="F23" i="15"/>
  <c r="J21" i="16"/>
  <c r="K21" i="16" s="1"/>
  <c r="F21" i="16"/>
  <c r="F22" i="15"/>
  <c r="F22" i="18"/>
  <c r="J22" i="18"/>
  <c r="K22" i="18" s="1"/>
  <c r="F21" i="17"/>
  <c r="C21" i="14"/>
  <c r="E21" i="14" s="1"/>
  <c r="A25" i="14"/>
  <c r="F23" i="14"/>
  <c r="C24" i="14"/>
  <c r="E24" i="14" s="1"/>
  <c r="J24" i="14" s="1"/>
  <c r="K24" i="14" s="1"/>
  <c r="J11" i="22"/>
  <c r="F16" i="20"/>
  <c r="T10" i="22"/>
  <c r="P10" i="22"/>
  <c r="F15" i="20"/>
  <c r="AL9" i="22"/>
  <c r="M8" i="22"/>
  <c r="R8" i="22"/>
  <c r="F13" i="20"/>
  <c r="L7" i="22"/>
  <c r="F12" i="20"/>
  <c r="AL6" i="22"/>
  <c r="H14" i="22"/>
  <c r="H23" i="22" s="1"/>
  <c r="B17" i="6"/>
  <c r="D17" i="6" s="1"/>
  <c r="A18" i="6"/>
  <c r="U29" i="5"/>
  <c r="U24" i="5"/>
  <c r="U19" i="5"/>
  <c r="U13" i="5"/>
  <c r="A26" i="19"/>
  <c r="B25" i="19"/>
  <c r="C25" i="19" s="1"/>
  <c r="E25" i="19" s="1"/>
  <c r="J8" i="19"/>
  <c r="K8" i="19" s="1"/>
  <c r="B26" i="18"/>
  <c r="A27" i="18"/>
  <c r="J8" i="18"/>
  <c r="K8" i="18" s="1"/>
  <c r="B26" i="17"/>
  <c r="C26" i="17" s="1"/>
  <c r="E26" i="17" s="1"/>
  <c r="A27" i="17"/>
  <c r="J8" i="17"/>
  <c r="K8" i="17" s="1"/>
  <c r="J8" i="16"/>
  <c r="K8" i="16" s="1"/>
  <c r="J8" i="15"/>
  <c r="K8" i="15" s="1"/>
  <c r="B26" i="15"/>
  <c r="C26" i="15" s="1"/>
  <c r="E26" i="15" s="1"/>
  <c r="J26" i="15" s="1"/>
  <c r="K26" i="15" s="1"/>
  <c r="A27" i="15"/>
  <c r="J8" i="14"/>
  <c r="K8" i="14" s="1"/>
  <c r="B21" i="13"/>
  <c r="D11" i="27" l="1"/>
  <c r="D14" i="25"/>
  <c r="X9" i="23"/>
  <c r="X6" i="23"/>
  <c r="Q12" i="23" s="1"/>
  <c r="Q20" i="23" s="1"/>
  <c r="Q21" i="23" s="1"/>
  <c r="F24" i="20"/>
  <c r="S12" i="23"/>
  <c r="X8" i="23"/>
  <c r="X12" i="23" s="1"/>
  <c r="X20" i="23" s="1"/>
  <c r="X21" i="23" s="1"/>
  <c r="F22" i="17"/>
  <c r="B5" i="25"/>
  <c r="C5" i="25"/>
  <c r="F24" i="16"/>
  <c r="F22" i="16"/>
  <c r="Z3" i="23"/>
  <c r="Z12" i="23" s="1"/>
  <c r="C9" i="25"/>
  <c r="C17" i="25"/>
  <c r="AB11" i="22"/>
  <c r="AB14" i="22" s="1"/>
  <c r="AB23" i="22" s="1"/>
  <c r="X11" i="22"/>
  <c r="X14" i="22" s="1"/>
  <c r="X23" i="22" s="1"/>
  <c r="T11" i="22"/>
  <c r="P11" i="22"/>
  <c r="P14" i="22" s="1"/>
  <c r="P23" i="22" s="1"/>
  <c r="L11" i="22"/>
  <c r="L14" i="22" s="1"/>
  <c r="L23" i="22" s="1"/>
  <c r="Y11" i="22"/>
  <c r="Y14" i="22" s="1"/>
  <c r="Y23" i="22" s="1"/>
  <c r="M11" i="22"/>
  <c r="M14" i="22" s="1"/>
  <c r="M23" i="22" s="1"/>
  <c r="AA11" i="22"/>
  <c r="AA14" i="22" s="1"/>
  <c r="AA23" i="22" s="1"/>
  <c r="W11" i="22"/>
  <c r="W14" i="22" s="1"/>
  <c r="W23" i="22" s="1"/>
  <c r="S11" i="22"/>
  <c r="S14" i="22" s="1"/>
  <c r="S23" i="22" s="1"/>
  <c r="O11" i="22"/>
  <c r="O14" i="22" s="1"/>
  <c r="O23" i="22" s="1"/>
  <c r="U11" i="22"/>
  <c r="U14" i="22" s="1"/>
  <c r="U23" i="22" s="1"/>
  <c r="Z11" i="22"/>
  <c r="Z14" i="22" s="1"/>
  <c r="Z23" i="22" s="1"/>
  <c r="V11" i="22"/>
  <c r="V14" i="22" s="1"/>
  <c r="V23" i="22" s="1"/>
  <c r="R11" i="22"/>
  <c r="R14" i="22" s="1"/>
  <c r="R23" i="22" s="1"/>
  <c r="N11" i="22"/>
  <c r="N14" i="22" s="1"/>
  <c r="N23" i="22" s="1"/>
  <c r="K11" i="22"/>
  <c r="K14" i="22" s="1"/>
  <c r="K23" i="22" s="1"/>
  <c r="AC11" i="22"/>
  <c r="AC14" i="22" s="1"/>
  <c r="AC23" i="22" s="1"/>
  <c r="Q11" i="22"/>
  <c r="Q14" i="22" s="1"/>
  <c r="Q23" i="22" s="1"/>
  <c r="I4" i="23"/>
  <c r="K4" i="23" s="1"/>
  <c r="AG4" i="23" s="1"/>
  <c r="J29" i="26"/>
  <c r="K29" i="26" s="1"/>
  <c r="F29" i="26"/>
  <c r="J21" i="26"/>
  <c r="K21" i="26" s="1"/>
  <c r="F21" i="26"/>
  <c r="J28" i="26"/>
  <c r="K28" i="26" s="1"/>
  <c r="F28" i="26"/>
  <c r="J23" i="26"/>
  <c r="K23" i="26" s="1"/>
  <c r="F23" i="26"/>
  <c r="J24" i="15"/>
  <c r="K24" i="15" s="1"/>
  <c r="J27" i="26"/>
  <c r="K27" i="26" s="1"/>
  <c r="F27" i="26"/>
  <c r="E32" i="26"/>
  <c r="F10" i="23"/>
  <c r="B16" i="25"/>
  <c r="D16" i="25" s="1"/>
  <c r="J25" i="26"/>
  <c r="K25" i="26" s="1"/>
  <c r="F25" i="26"/>
  <c r="J24" i="26"/>
  <c r="K24" i="26" s="1"/>
  <c r="F24" i="26"/>
  <c r="F23" i="16"/>
  <c r="J30" i="26"/>
  <c r="K30" i="26" s="1"/>
  <c r="F30" i="26"/>
  <c r="J26" i="26"/>
  <c r="K26" i="26" s="1"/>
  <c r="F26" i="26"/>
  <c r="J22" i="26"/>
  <c r="K22" i="26" s="1"/>
  <c r="F22" i="26"/>
  <c r="D15" i="25"/>
  <c r="F23" i="13"/>
  <c r="AL10" i="22"/>
  <c r="Y6" i="23"/>
  <c r="W12" i="23"/>
  <c r="W20" i="23" s="1"/>
  <c r="W21" i="23" s="1"/>
  <c r="F32" i="14"/>
  <c r="T14" i="22"/>
  <c r="T23" i="22" s="1"/>
  <c r="AE3" i="23"/>
  <c r="AE12" i="23" s="1"/>
  <c r="AE20" i="23" s="1"/>
  <c r="AE21" i="23" s="1"/>
  <c r="Y9" i="23"/>
  <c r="I7" i="23"/>
  <c r="K7" i="23" s="1"/>
  <c r="I5" i="23"/>
  <c r="K5" i="23" s="1"/>
  <c r="AG5" i="23" s="1"/>
  <c r="J9" i="23"/>
  <c r="C22" i="13"/>
  <c r="E22" i="13" s="1"/>
  <c r="E5" i="22"/>
  <c r="E14" i="22" s="1"/>
  <c r="E23" i="22" s="1"/>
  <c r="E3" i="23"/>
  <c r="C32" i="13"/>
  <c r="B9" i="25" s="1"/>
  <c r="F10" i="20"/>
  <c r="F25" i="20" s="1"/>
  <c r="F24" i="18"/>
  <c r="J24" i="18"/>
  <c r="K24" i="18" s="1"/>
  <c r="F25" i="19"/>
  <c r="J25" i="19"/>
  <c r="K25" i="19" s="1"/>
  <c r="E32" i="16"/>
  <c r="F6" i="23"/>
  <c r="E32" i="19"/>
  <c r="F9" i="23"/>
  <c r="H9" i="23" s="1"/>
  <c r="F26" i="15"/>
  <c r="B25" i="16"/>
  <c r="C25" i="16" s="1"/>
  <c r="E25" i="16" s="1"/>
  <c r="J25" i="16" s="1"/>
  <c r="K25" i="16" s="1"/>
  <c r="A26" i="16"/>
  <c r="C21" i="13"/>
  <c r="E21" i="13" s="1"/>
  <c r="F21" i="18"/>
  <c r="J21" i="18"/>
  <c r="K21" i="18" s="1"/>
  <c r="A25" i="13"/>
  <c r="B24" i="13"/>
  <c r="E32" i="18"/>
  <c r="F8" i="23"/>
  <c r="H8" i="23" s="1"/>
  <c r="C26" i="18"/>
  <c r="E26" i="18" s="1"/>
  <c r="J32" i="15"/>
  <c r="F32" i="15"/>
  <c r="F32" i="17"/>
  <c r="J8" i="23"/>
  <c r="F26" i="17"/>
  <c r="K32" i="14"/>
  <c r="H11" i="20" s="1"/>
  <c r="G11" i="20"/>
  <c r="A26" i="14"/>
  <c r="B25" i="14"/>
  <c r="F21" i="14"/>
  <c r="J21" i="14"/>
  <c r="K21" i="14" s="1"/>
  <c r="F24" i="14"/>
  <c r="J14" i="22"/>
  <c r="J23" i="22" s="1"/>
  <c r="AL8" i="22"/>
  <c r="AL7" i="22"/>
  <c r="A19" i="6"/>
  <c r="B18" i="6"/>
  <c r="D18" i="6" s="1"/>
  <c r="B26" i="19"/>
  <c r="C26" i="19" s="1"/>
  <c r="E26" i="19" s="1"/>
  <c r="A27" i="19"/>
  <c r="A28" i="18"/>
  <c r="B27" i="18"/>
  <c r="C27" i="18" s="1"/>
  <c r="E27" i="18" s="1"/>
  <c r="A28" i="17"/>
  <c r="B27" i="17"/>
  <c r="C27" i="17" s="1"/>
  <c r="E27" i="17" s="1"/>
  <c r="A28" i="15"/>
  <c r="B27" i="15"/>
  <c r="C27" i="15" s="1"/>
  <c r="E27" i="15" s="1"/>
  <c r="J8" i="13"/>
  <c r="K8" i="13" s="1"/>
  <c r="Y8" i="23" l="1"/>
  <c r="Y12" i="23" s="1"/>
  <c r="Y20" i="23" s="1"/>
  <c r="Y21" i="23" s="1"/>
  <c r="D5" i="25"/>
  <c r="C6" i="25"/>
  <c r="C7" i="25" s="1"/>
  <c r="C38" i="25" s="1"/>
  <c r="G7" i="25" s="1"/>
  <c r="F26" i="20"/>
  <c r="B6" i="25"/>
  <c r="D9" i="25"/>
  <c r="D17" i="25" s="1"/>
  <c r="F19" i="20"/>
  <c r="AD3" i="23"/>
  <c r="AD12" i="23" s="1"/>
  <c r="AD20" i="23" s="1"/>
  <c r="AD21" i="23" s="1"/>
  <c r="AL11" i="22"/>
  <c r="AL14" i="22" s="1"/>
  <c r="J32" i="26"/>
  <c r="F32" i="26"/>
  <c r="H10" i="23"/>
  <c r="I10" i="23"/>
  <c r="K10" i="23" s="1"/>
  <c r="AG10" i="23" s="1"/>
  <c r="B17" i="25"/>
  <c r="F26" i="19"/>
  <c r="J26" i="19"/>
  <c r="K26" i="19" s="1"/>
  <c r="A27" i="16"/>
  <c r="B26" i="16"/>
  <c r="C26" i="16" s="1"/>
  <c r="E26" i="16" s="1"/>
  <c r="J26" i="16" s="1"/>
  <c r="K26" i="16" s="1"/>
  <c r="F32" i="18"/>
  <c r="J32" i="18"/>
  <c r="I6" i="23"/>
  <c r="K6" i="23" s="1"/>
  <c r="AG6" i="23" s="1"/>
  <c r="H6" i="23"/>
  <c r="J21" i="13"/>
  <c r="K21" i="13" s="1"/>
  <c r="F21" i="13"/>
  <c r="F25" i="16"/>
  <c r="J22" i="13"/>
  <c r="K22" i="13" s="1"/>
  <c r="F22" i="13"/>
  <c r="K32" i="15"/>
  <c r="H12" i="20" s="1"/>
  <c r="G12" i="20"/>
  <c r="F3" i="23"/>
  <c r="I3" i="23" s="1"/>
  <c r="E32" i="13"/>
  <c r="I9" i="23"/>
  <c r="K9" i="23" s="1"/>
  <c r="AG9" i="23" s="1"/>
  <c r="F27" i="15"/>
  <c r="J27" i="15"/>
  <c r="K27" i="15" s="1"/>
  <c r="E12" i="23"/>
  <c r="E20" i="23" s="1"/>
  <c r="J3" i="23"/>
  <c r="J12" i="23" s="1"/>
  <c r="J20" i="23" s="1"/>
  <c r="F32" i="19"/>
  <c r="J32" i="19"/>
  <c r="C24" i="13"/>
  <c r="E24" i="13" s="1"/>
  <c r="F32" i="16"/>
  <c r="J32" i="16"/>
  <c r="I8" i="23"/>
  <c r="K8" i="23" s="1"/>
  <c r="AG8" i="23" s="1"/>
  <c r="F26" i="18"/>
  <c r="J26" i="18"/>
  <c r="K26" i="18" s="1"/>
  <c r="A26" i="13"/>
  <c r="B25" i="13"/>
  <c r="F27" i="18"/>
  <c r="J27" i="18"/>
  <c r="K27" i="18" s="1"/>
  <c r="F27" i="17"/>
  <c r="B26" i="14"/>
  <c r="C26" i="14" s="1"/>
  <c r="E26" i="14" s="1"/>
  <c r="J26" i="14" s="1"/>
  <c r="K26" i="14" s="1"/>
  <c r="A27" i="14"/>
  <c r="C25" i="14"/>
  <c r="E25" i="14" s="1"/>
  <c r="A20" i="6"/>
  <c r="B19" i="6"/>
  <c r="D19" i="6" s="1"/>
  <c r="A28" i="19"/>
  <c r="B27" i="19"/>
  <c r="C27" i="19" s="1"/>
  <c r="E27" i="19" s="1"/>
  <c r="B28" i="18"/>
  <c r="A29" i="18"/>
  <c r="B28" i="17"/>
  <c r="C28" i="17" s="1"/>
  <c r="E28" i="17" s="1"/>
  <c r="A29" i="17"/>
  <c r="B28" i="15"/>
  <c r="C28" i="15" s="1"/>
  <c r="E28" i="15" s="1"/>
  <c r="A29" i="15"/>
  <c r="D6" i="25" l="1"/>
  <c r="AF3" i="23"/>
  <c r="AF12" i="23" s="1"/>
  <c r="AF20" i="23" s="1"/>
  <c r="AF21" i="23" s="1"/>
  <c r="K32" i="26"/>
  <c r="H17" i="20" s="1"/>
  <c r="G17" i="20"/>
  <c r="J21" i="23"/>
  <c r="I12" i="23"/>
  <c r="I20" i="23" s="1"/>
  <c r="K3" i="23"/>
  <c r="F24" i="13"/>
  <c r="J24" i="13"/>
  <c r="K24" i="13" s="1"/>
  <c r="A27" i="13"/>
  <c r="B26" i="13"/>
  <c r="F28" i="15"/>
  <c r="J28" i="15"/>
  <c r="K28" i="15" s="1"/>
  <c r="K32" i="18"/>
  <c r="H15" i="20" s="1"/>
  <c r="G15" i="20"/>
  <c r="K32" i="19"/>
  <c r="H16" i="20" s="1"/>
  <c r="G16" i="20"/>
  <c r="B27" i="16"/>
  <c r="C27" i="16" s="1"/>
  <c r="E27" i="16" s="1"/>
  <c r="J27" i="16" s="1"/>
  <c r="K27" i="16" s="1"/>
  <c r="A28" i="16"/>
  <c r="F27" i="19"/>
  <c r="J27" i="19"/>
  <c r="K27" i="19" s="1"/>
  <c r="F12" i="23"/>
  <c r="H3" i="23"/>
  <c r="H12" i="23" s="1"/>
  <c r="F26" i="16"/>
  <c r="F32" i="13"/>
  <c r="J32" i="13"/>
  <c r="K32" i="16"/>
  <c r="H13" i="20" s="1"/>
  <c r="G13" i="20"/>
  <c r="C25" i="13"/>
  <c r="E25" i="13" s="1"/>
  <c r="C28" i="18"/>
  <c r="E28" i="18" s="1"/>
  <c r="F28" i="17"/>
  <c r="A28" i="14"/>
  <c r="B27" i="14"/>
  <c r="C27" i="14" s="1"/>
  <c r="E27" i="14" s="1"/>
  <c r="J27" i="14" s="1"/>
  <c r="K27" i="14" s="1"/>
  <c r="J25" i="14"/>
  <c r="K25" i="14" s="1"/>
  <c r="F25" i="14"/>
  <c r="F26" i="14"/>
  <c r="A21" i="6"/>
  <c r="B20" i="6"/>
  <c r="D20" i="6" s="1"/>
  <c r="A29" i="19"/>
  <c r="B28" i="19"/>
  <c r="C28" i="19" s="1"/>
  <c r="E28" i="19" s="1"/>
  <c r="A30" i="18"/>
  <c r="B30" i="18" s="1"/>
  <c r="B29" i="18"/>
  <c r="C29" i="18" s="1"/>
  <c r="E29" i="18" s="1"/>
  <c r="A30" i="17"/>
  <c r="B30" i="17" s="1"/>
  <c r="C30" i="17" s="1"/>
  <c r="E30" i="17" s="1"/>
  <c r="B29" i="17"/>
  <c r="C29" i="17" s="1"/>
  <c r="E29" i="17" s="1"/>
  <c r="A30" i="15"/>
  <c r="B29" i="15"/>
  <c r="C29" i="15" s="1"/>
  <c r="E29" i="15" s="1"/>
  <c r="I21" i="23" l="1"/>
  <c r="K12" i="23"/>
  <c r="K20" i="23" s="1"/>
  <c r="AG3" i="23"/>
  <c r="B30" i="15"/>
  <c r="C30" i="15" s="1"/>
  <c r="E30" i="15" s="1"/>
  <c r="J30" i="15" s="1"/>
  <c r="K30" i="15" s="1"/>
  <c r="F29" i="18"/>
  <c r="J29" i="18"/>
  <c r="K29" i="18" s="1"/>
  <c r="A28" i="13"/>
  <c r="B27" i="13"/>
  <c r="C27" i="13" s="1"/>
  <c r="E27" i="13" s="1"/>
  <c r="J27" i="13" s="1"/>
  <c r="K27" i="13" s="1"/>
  <c r="F29" i="15"/>
  <c r="J29" i="15"/>
  <c r="K29" i="15" s="1"/>
  <c r="K32" i="13"/>
  <c r="H10" i="20" s="1"/>
  <c r="G10" i="20"/>
  <c r="F28" i="18"/>
  <c r="J28" i="18"/>
  <c r="K28" i="18" s="1"/>
  <c r="B28" i="16"/>
  <c r="C28" i="16" s="1"/>
  <c r="E28" i="16" s="1"/>
  <c r="J28" i="16" s="1"/>
  <c r="K28" i="16" s="1"/>
  <c r="A29" i="16"/>
  <c r="J25" i="13"/>
  <c r="K25" i="13" s="1"/>
  <c r="F25" i="13"/>
  <c r="F27" i="16"/>
  <c r="C26" i="13"/>
  <c r="E26" i="13" s="1"/>
  <c r="C30" i="18"/>
  <c r="E30" i="18" s="1"/>
  <c r="F28" i="19"/>
  <c r="J28" i="19"/>
  <c r="K28" i="19" s="1"/>
  <c r="F30" i="17"/>
  <c r="F29" i="17"/>
  <c r="B28" i="14"/>
  <c r="A29" i="14"/>
  <c r="F27" i="14"/>
  <c r="A22" i="6"/>
  <c r="B21" i="6"/>
  <c r="D21" i="6" s="1"/>
  <c r="A30" i="19"/>
  <c r="B30" i="19" s="1"/>
  <c r="C30" i="19" s="1"/>
  <c r="E30" i="19" s="1"/>
  <c r="B29" i="19"/>
  <c r="C29" i="19" s="1"/>
  <c r="E29" i="19" s="1"/>
  <c r="K21" i="23" l="1"/>
  <c r="F30" i="19"/>
  <c r="J30" i="19"/>
  <c r="K30" i="19" s="1"/>
  <c r="F29" i="19"/>
  <c r="J29" i="19"/>
  <c r="K29" i="19" s="1"/>
  <c r="B29" i="16"/>
  <c r="C29" i="16" s="1"/>
  <c r="E29" i="16" s="1"/>
  <c r="J29" i="16" s="1"/>
  <c r="K29" i="16" s="1"/>
  <c r="A30" i="16"/>
  <c r="F30" i="18"/>
  <c r="J30" i="18"/>
  <c r="K30" i="18" s="1"/>
  <c r="J26" i="13"/>
  <c r="K26" i="13" s="1"/>
  <c r="F26" i="13"/>
  <c r="F27" i="13"/>
  <c r="F28" i="16"/>
  <c r="F30" i="15"/>
  <c r="B28" i="13"/>
  <c r="A29" i="13"/>
  <c r="A30" i="14"/>
  <c r="B29" i="14"/>
  <c r="C28" i="14"/>
  <c r="E28" i="14" s="1"/>
  <c r="A23" i="6"/>
  <c r="B22" i="6"/>
  <c r="D22" i="6" s="1"/>
  <c r="B30" i="16" l="1"/>
  <c r="C30" i="16" s="1"/>
  <c r="E30" i="16" s="1"/>
  <c r="J30" i="16" s="1"/>
  <c r="K30" i="16" s="1"/>
  <c r="F29" i="16"/>
  <c r="A30" i="13"/>
  <c r="B29" i="13"/>
  <c r="C28" i="13"/>
  <c r="E28" i="13" s="1"/>
  <c r="C29" i="14"/>
  <c r="E29" i="14" s="1"/>
  <c r="B30" i="14"/>
  <c r="C30" i="14" s="1"/>
  <c r="E30" i="14" s="1"/>
  <c r="J30" i="14" s="1"/>
  <c r="K30" i="14" s="1"/>
  <c r="J28" i="14"/>
  <c r="K28" i="14" s="1"/>
  <c r="F28" i="14"/>
  <c r="A24" i="6"/>
  <c r="B23" i="6"/>
  <c r="D23" i="6" s="1"/>
  <c r="C29" i="13" l="1"/>
  <c r="E29" i="13" s="1"/>
  <c r="B30" i="13"/>
  <c r="F30" i="16"/>
  <c r="F28" i="13"/>
  <c r="J28" i="13"/>
  <c r="K28" i="13" s="1"/>
  <c r="F30" i="14"/>
  <c r="J29" i="14"/>
  <c r="K29" i="14" s="1"/>
  <c r="F29" i="14"/>
  <c r="A25" i="6"/>
  <c r="B25" i="6" s="1"/>
  <c r="D25" i="6" s="1"/>
  <c r="B24" i="6"/>
  <c r="D24" i="6" s="1"/>
  <c r="C30" i="13" l="1"/>
  <c r="E30" i="13" s="1"/>
  <c r="J29" i="13"/>
  <c r="K29" i="13" s="1"/>
  <c r="F29" i="13"/>
  <c r="J30" i="13" l="1"/>
  <c r="K30" i="13" s="1"/>
  <c r="F30" i="13"/>
  <c r="I18" i="17"/>
  <c r="D14" i="27"/>
  <c r="G26" i="20"/>
  <c r="B28" i="6"/>
  <c r="D28" i="6" s="1"/>
  <c r="E4" i="20" l="1"/>
  <c r="B4" i="25"/>
  <c r="G21" i="17"/>
  <c r="I21" i="17" s="1"/>
  <c r="F4" i="20"/>
  <c r="H4" i="20" s="1"/>
  <c r="M7" i="23"/>
  <c r="J29" i="17" l="1"/>
  <c r="K29" i="17" s="1"/>
  <c r="J23" i="17"/>
  <c r="K23" i="17" s="1"/>
  <c r="J24" i="17"/>
  <c r="K24" i="17" s="1"/>
  <c r="J32" i="17"/>
  <c r="J25" i="17"/>
  <c r="K25" i="17" s="1"/>
  <c r="J26" i="17"/>
  <c r="K26" i="17" s="1"/>
  <c r="J30" i="17"/>
  <c r="K30" i="17" s="1"/>
  <c r="J21" i="17"/>
  <c r="K21" i="17" s="1"/>
  <c r="J22" i="17"/>
  <c r="K22" i="17" s="1"/>
  <c r="J27" i="17"/>
  <c r="K27" i="17" s="1"/>
  <c r="J28" i="17"/>
  <c r="K28" i="17" s="1"/>
  <c r="D4" i="25"/>
  <c r="D7" i="25" s="1"/>
  <c r="B7" i="25"/>
  <c r="B38" i="25" s="1"/>
  <c r="D38" i="25" s="1"/>
  <c r="M12" i="23"/>
  <c r="P7" i="23"/>
  <c r="O7" i="23"/>
  <c r="O12" i="23" s="1"/>
  <c r="G8" i="25" l="1"/>
  <c r="G9" i="25" s="1"/>
  <c r="G10" i="25"/>
  <c r="K32" i="17"/>
  <c r="H14" i="20" s="1"/>
  <c r="H19" i="20" s="1"/>
  <c r="G14" i="20"/>
  <c r="P12" i="23"/>
  <c r="P20" i="23" s="1"/>
  <c r="P21" i="23" s="1"/>
  <c r="R7" i="23"/>
  <c r="AG7" i="23" l="1"/>
  <c r="AG12" i="23" s="1"/>
  <c r="R12" i="23"/>
  <c r="R20" i="23" s="1"/>
  <c r="AG20" i="23" l="1"/>
  <c r="AG21" i="23" s="1"/>
  <c r="R21" i="23"/>
</calcChain>
</file>

<file path=xl/sharedStrings.xml><?xml version="1.0" encoding="utf-8"?>
<sst xmlns="http://schemas.openxmlformats.org/spreadsheetml/2006/main" count="2587" uniqueCount="1067">
  <si>
    <t>Índice geral</t>
  </si>
  <si>
    <t>Siglas</t>
  </si>
  <si>
    <t>Siglas utilizadas no trabalho</t>
  </si>
  <si>
    <t>Dados de referência utilizados nos cálculos</t>
  </si>
  <si>
    <t>…</t>
  </si>
  <si>
    <t>Prepodadora</t>
  </si>
  <si>
    <t>Determinações efetuadas relativamente à prepodadora</t>
  </si>
  <si>
    <t>Determinações efetuadas relativamente ao triturador de sarmentos</t>
  </si>
  <si>
    <t>Determinações efetuadas relativamente ao localizador de adubos</t>
  </si>
  <si>
    <t>Escarificador</t>
  </si>
  <si>
    <t>Determinações efetuadas relativamente ao escarificador</t>
  </si>
  <si>
    <t>Pulverizador</t>
  </si>
  <si>
    <t>Determinações efetuadas relativamente ao pulverizador</t>
  </si>
  <si>
    <t>Despontadora</t>
  </si>
  <si>
    <t>Determinações efetuadas relativamente à despontadora</t>
  </si>
  <si>
    <t>Reboque</t>
  </si>
  <si>
    <t>Resumo dos resultados relativos aos tratores e equipamentos</t>
  </si>
  <si>
    <t>Operações culturais realizadas manualmente</t>
  </si>
  <si>
    <t>CalCult</t>
  </si>
  <si>
    <t>Calendário cultural</t>
  </si>
  <si>
    <t>Equip+MO</t>
  </si>
  <si>
    <t>Encargos com a MO e Equipamentos</t>
  </si>
  <si>
    <t>Os restantes fatores de produção eResultados económicos</t>
  </si>
  <si>
    <t>Índice das siglas utilizadas</t>
  </si>
  <si>
    <t>Sigla</t>
  </si>
  <si>
    <t>Designação</t>
  </si>
  <si>
    <t>Unidades</t>
  </si>
  <si>
    <t>Ar</t>
  </si>
  <si>
    <t>Área</t>
  </si>
  <si>
    <t>ha</t>
  </si>
  <si>
    <t>Ar_Tt</t>
  </si>
  <si>
    <t>Área total</t>
  </si>
  <si>
    <t>C.E.C.</t>
  </si>
  <si>
    <t>Capacidade efetiva de campo</t>
  </si>
  <si>
    <t>ha/h</t>
  </si>
  <si>
    <t>C.T.C.</t>
  </si>
  <si>
    <t>Capacidade teórica de campo</t>
  </si>
  <si>
    <t>Ce_Cb</t>
  </si>
  <si>
    <t>Consumo específico de combustíveis</t>
  </si>
  <si>
    <t>l/cv.h</t>
  </si>
  <si>
    <t>Ce_Lb</t>
  </si>
  <si>
    <t>Consumo específico dos lubrificantes</t>
  </si>
  <si>
    <t>Cs_Cb</t>
  </si>
  <si>
    <t>Consumo de combustíveis por hora</t>
  </si>
  <si>
    <t>l/h</t>
  </si>
  <si>
    <t>Ct(S+R)</t>
  </si>
  <si>
    <t>Encargos com os seguros e recolha</t>
  </si>
  <si>
    <t>€/h</t>
  </si>
  <si>
    <t>Ct/Ar(Eq)</t>
  </si>
  <si>
    <t>Custo / área de um equipamento</t>
  </si>
  <si>
    <t>€</t>
  </si>
  <si>
    <t>Ct/Ar(oc)</t>
  </si>
  <si>
    <t>Custo / área de uma operação cultural</t>
  </si>
  <si>
    <t>Ct/h(Eq.)</t>
  </si>
  <si>
    <t>Custo / hora de um equipamento</t>
  </si>
  <si>
    <t>Ct/h(oc)</t>
  </si>
  <si>
    <t>Custo / hora de uma operação cultural</t>
  </si>
  <si>
    <t>Ct/h(Tr)</t>
  </si>
  <si>
    <t>Custo / hora de um trator</t>
  </si>
  <si>
    <t>Ct/ha(Eq)</t>
  </si>
  <si>
    <t>Custo / hectare de um equipamento</t>
  </si>
  <si>
    <t>€/ha</t>
  </si>
  <si>
    <t>Ct/ha(oc)</t>
  </si>
  <si>
    <t>Custo / hectare de uma operação cultural</t>
  </si>
  <si>
    <t>Ct/ha(Tr)</t>
  </si>
  <si>
    <t>Custo / hectare de um trator</t>
  </si>
  <si>
    <t>Ct_Am</t>
  </si>
  <si>
    <t>Encargos com a amortização (deprecição) dos equipamentos</t>
  </si>
  <si>
    <t>Ct_Cb</t>
  </si>
  <si>
    <t>Custo do combustível</t>
  </si>
  <si>
    <t>Ct_Cd</t>
  </si>
  <si>
    <t>Custo / hora de condução</t>
  </si>
  <si>
    <t>Ct_Jr</t>
  </si>
  <si>
    <t>Encargos com os juros do empréstimo</t>
  </si>
  <si>
    <t>Ct_Lb</t>
  </si>
  <si>
    <t>Custo dos lubrificantes</t>
  </si>
  <si>
    <t>Ct_Mn</t>
  </si>
  <si>
    <t>Custo/ hora da manutenção</t>
  </si>
  <si>
    <t>Ct_MO</t>
  </si>
  <si>
    <t>Custo / hora da mão-de-obra</t>
  </si>
  <si>
    <t>Ct_Pn</t>
  </si>
  <si>
    <t>Custo/ hora dos pneus</t>
  </si>
  <si>
    <t>Ct_Rp</t>
  </si>
  <si>
    <t>Custo / hora das reparações</t>
  </si>
  <si>
    <t>Ct_Tr</t>
  </si>
  <si>
    <t>Custo do trator</t>
  </si>
  <si>
    <t>Dr_Pn</t>
  </si>
  <si>
    <t>Duração dos pneus</t>
  </si>
  <si>
    <t>h</t>
  </si>
  <si>
    <t>E.C.</t>
  </si>
  <si>
    <t>Eficiência de campo</t>
  </si>
  <si>
    <t>%</t>
  </si>
  <si>
    <t>E.F.(h)</t>
  </si>
  <si>
    <t>Encargos fixos por hora</t>
  </si>
  <si>
    <t>E.F.(ha)</t>
  </si>
  <si>
    <t>Encargos fixos por hetare</t>
  </si>
  <si>
    <t>E.V.(h)</t>
  </si>
  <si>
    <t>Encargos variáveis por hora</t>
  </si>
  <si>
    <t>E.V.(ha)</t>
  </si>
  <si>
    <t>Encargos variáveis por hectare</t>
  </si>
  <si>
    <t>L.T.</t>
  </si>
  <si>
    <t>Largura de trabalho</t>
  </si>
  <si>
    <t>m</t>
  </si>
  <si>
    <t>MO</t>
  </si>
  <si>
    <t>nº aplic</t>
  </si>
  <si>
    <t>número de aplicações</t>
  </si>
  <si>
    <t>nº passag</t>
  </si>
  <si>
    <t>número de passagens</t>
  </si>
  <si>
    <t>nº unid</t>
  </si>
  <si>
    <t>número de unidades</t>
  </si>
  <si>
    <t>Pot</t>
  </si>
  <si>
    <t>Potência dos equipamentos (tratores)</t>
  </si>
  <si>
    <t>cv</t>
  </si>
  <si>
    <t>Pr_ Lb</t>
  </si>
  <si>
    <t>Preço doslubrificantes</t>
  </si>
  <si>
    <t>€/l</t>
  </si>
  <si>
    <t>Pr_At</t>
  </si>
  <si>
    <t>Preço atribuído</t>
  </si>
  <si>
    <t>Pr_Cb</t>
  </si>
  <si>
    <t>Preço dos combustíveis</t>
  </si>
  <si>
    <t>Pr_Dt</t>
  </si>
  <si>
    <t>Preço determinado</t>
  </si>
  <si>
    <t>Pr_Mq</t>
  </si>
  <si>
    <t>Preço das máquinas</t>
  </si>
  <si>
    <t>Pr_Pn</t>
  </si>
  <si>
    <t>Preço dos pneus</t>
  </si>
  <si>
    <t>Pr_Rf</t>
  </si>
  <si>
    <t>Preço de referência</t>
  </si>
  <si>
    <t>Seg</t>
  </si>
  <si>
    <t>Encargos com os seguros dos equipamentos</t>
  </si>
  <si>
    <t>Tp</t>
  </si>
  <si>
    <t>Tempo</t>
  </si>
  <si>
    <t>Tp_Tt_An</t>
  </si>
  <si>
    <t>Tempo total por ano</t>
  </si>
  <si>
    <t>Tp_Tt_Ar</t>
  </si>
  <si>
    <t>Tempo total numa dada área</t>
  </si>
  <si>
    <t>Tp_Tt_Dt</t>
  </si>
  <si>
    <t>Tempo total determinado (horas/ano dos tratores)</t>
  </si>
  <si>
    <t>Tp_Tt_Vd</t>
  </si>
  <si>
    <t>Tempo total da vindima</t>
  </si>
  <si>
    <t>Taxa de juros</t>
  </si>
  <si>
    <t>Tx_Mn</t>
  </si>
  <si>
    <t>Percentagem do Tp gasto em manutenção relativamenteao Tp de condução</t>
  </si>
  <si>
    <t>Tx_Rp</t>
  </si>
  <si>
    <t>Percentagem dos encargos com reparações relativamente ao preço do equipamento</t>
  </si>
  <si>
    <t>Taxa para seguros e recolha</t>
  </si>
  <si>
    <t>Ut/An</t>
  </si>
  <si>
    <t>Utilização anual de um equipamento</t>
  </si>
  <si>
    <t>h/ano</t>
  </si>
  <si>
    <t>V.T.</t>
  </si>
  <si>
    <t>Velocidade de trabalho</t>
  </si>
  <si>
    <t>km/h</t>
  </si>
  <si>
    <t>V.U.</t>
  </si>
  <si>
    <t>Vida útil dos equipamentos</t>
  </si>
  <si>
    <t>anos</t>
  </si>
  <si>
    <t>Vl_Atr_Dt</t>
  </si>
  <si>
    <t>Valores atribuídos ou determinados</t>
  </si>
  <si>
    <t>Vl_Rf</t>
  </si>
  <si>
    <t>Valores de referência</t>
  </si>
  <si>
    <t>Dados da exploração</t>
  </si>
  <si>
    <t>Localização</t>
  </si>
  <si>
    <t>X</t>
  </si>
  <si>
    <t>Y</t>
  </si>
  <si>
    <t>Z</t>
  </si>
  <si>
    <t>(google_coordenadas)</t>
  </si>
  <si>
    <t>Área de vinha (ha)</t>
  </si>
  <si>
    <t>Entrelinha (m)</t>
  </si>
  <si>
    <t>Mão de obra permanente (MOp):</t>
  </si>
  <si>
    <t>tratorista -&gt;</t>
  </si>
  <si>
    <t>Tt_MOp-&gt;</t>
  </si>
  <si>
    <t>Mão de obra temporária (MOt):</t>
  </si>
  <si>
    <t>Ct/h</t>
  </si>
  <si>
    <t>(h/ha)</t>
  </si>
  <si>
    <t>Ct/ha</t>
  </si>
  <si>
    <t>nº MOt</t>
  </si>
  <si>
    <t>Poda manual</t>
  </si>
  <si>
    <t>Vindima</t>
  </si>
  <si>
    <t>Transportes (reboques)</t>
  </si>
  <si>
    <t>Rb (h/ha)</t>
  </si>
  <si>
    <t>Rb (h/ano)</t>
  </si>
  <si>
    <t>Rb_Tp_Vd(h/ha)</t>
  </si>
  <si>
    <t>Rb_Tt_Vd (h/ano)</t>
  </si>
  <si>
    <t>Rb_Tt (h/ano)</t>
  </si>
  <si>
    <t>Outros fatores de produção</t>
  </si>
  <si>
    <t>(€/un)</t>
  </si>
  <si>
    <t>(unid/ha)</t>
  </si>
  <si>
    <t>Kg/ha</t>
  </si>
  <si>
    <t>Ct/kg</t>
  </si>
  <si>
    <t>Rec(€/ha)</t>
  </si>
  <si>
    <t>Quebras (%)</t>
  </si>
  <si>
    <t>Pr_Tt (kg)</t>
  </si>
  <si>
    <t>Produção de uva</t>
  </si>
  <si>
    <t/>
  </si>
  <si>
    <t>Equipamentos de tracção</t>
  </si>
  <si>
    <t>ValRef-</t>
  </si>
  <si>
    <t>ID</t>
  </si>
  <si>
    <t>EF</t>
  </si>
  <si>
    <t>CtCb</t>
  </si>
  <si>
    <t>CtLb</t>
  </si>
  <si>
    <t>CtRp</t>
  </si>
  <si>
    <t>CtMn</t>
  </si>
  <si>
    <t>CtCd</t>
  </si>
  <si>
    <t>EV</t>
  </si>
  <si>
    <t>EF+EV</t>
  </si>
  <si>
    <t>(cv)</t>
  </si>
  <si>
    <t>(€)</t>
  </si>
  <si>
    <t>(anos)</t>
  </si>
  <si>
    <t>(h/ano)</t>
  </si>
  <si>
    <t>(€/h)</t>
  </si>
  <si>
    <t>TpTt_Det</t>
  </si>
  <si>
    <t>V. U.</t>
  </si>
  <si>
    <t>Seg+Rec</t>
  </si>
  <si>
    <t>(%)</t>
  </si>
  <si>
    <t>(€/l)</t>
  </si>
  <si>
    <t>(l/cv.h)</t>
  </si>
  <si>
    <t>(h)</t>
  </si>
  <si>
    <t>EF + EV</t>
  </si>
  <si>
    <t>Equipamentos - Designação</t>
  </si>
  <si>
    <t>Modelo</t>
  </si>
  <si>
    <t>Carregador Frontal</t>
  </si>
  <si>
    <t>1,2 m</t>
  </si>
  <si>
    <t>Distribuidor de estrume</t>
  </si>
  <si>
    <t>4 tPB</t>
  </si>
  <si>
    <t>6 tPB</t>
  </si>
  <si>
    <t>Distribuidor de Chorume</t>
  </si>
  <si>
    <t>3000 litros</t>
  </si>
  <si>
    <t>4000 litros</t>
  </si>
  <si>
    <t>Cultivador rotativo de facas (fresa)</t>
  </si>
  <si>
    <t>1,1 m</t>
  </si>
  <si>
    <t>1,3 m</t>
  </si>
  <si>
    <t>1,5 m</t>
  </si>
  <si>
    <t>1,7 m</t>
  </si>
  <si>
    <t>1,9 m</t>
  </si>
  <si>
    <t>2,2 m</t>
  </si>
  <si>
    <t>3 m</t>
  </si>
  <si>
    <t>60 cm</t>
  </si>
  <si>
    <t>80 cm-2F</t>
  </si>
  <si>
    <t>120 cm-3F</t>
  </si>
  <si>
    <t>90 cm-2F</t>
  </si>
  <si>
    <t>135 cm-3F</t>
  </si>
  <si>
    <t>25 cm-1F10''</t>
  </si>
  <si>
    <t>30 cm-1F12''</t>
  </si>
  <si>
    <t>35 cm-1F14''</t>
  </si>
  <si>
    <t>40 cm-1F16''</t>
  </si>
  <si>
    <t>45 cm-1F18''</t>
  </si>
  <si>
    <t>50 cm-2F10''</t>
  </si>
  <si>
    <t>60 cm-2F12''</t>
  </si>
  <si>
    <t>70 cm-2F14''</t>
  </si>
  <si>
    <t>80 cm-2F16''</t>
  </si>
  <si>
    <t>90 cm-2F18''</t>
  </si>
  <si>
    <t>105 cm-3F14''</t>
  </si>
  <si>
    <t>120 cm-3F16''</t>
  </si>
  <si>
    <t>140 cm-4F14''</t>
  </si>
  <si>
    <t>160 cm-4F16''</t>
  </si>
  <si>
    <t>175 cm-5F14''</t>
  </si>
  <si>
    <t>200 cm-5F16''</t>
  </si>
  <si>
    <t>5 ferros</t>
  </si>
  <si>
    <t>7 ferros</t>
  </si>
  <si>
    <t>Charrua com discos de 26''</t>
  </si>
  <si>
    <t>2 discos</t>
  </si>
  <si>
    <t>3 discos</t>
  </si>
  <si>
    <t>4 discos</t>
  </si>
  <si>
    <t>Charrua vinhateira de discos</t>
  </si>
  <si>
    <t>6 discos</t>
  </si>
  <si>
    <t>8discos</t>
  </si>
  <si>
    <t>Grade offset com discos de 20'', montada</t>
  </si>
  <si>
    <t>14 discos</t>
  </si>
  <si>
    <t>16 discos</t>
  </si>
  <si>
    <t>18 discos</t>
  </si>
  <si>
    <t>20 discos</t>
  </si>
  <si>
    <t>22 discos</t>
  </si>
  <si>
    <t>24 discos</t>
  </si>
  <si>
    <t>28 discos</t>
  </si>
  <si>
    <t>32 discos</t>
  </si>
  <si>
    <t>36 discos</t>
  </si>
  <si>
    <t>44 discos</t>
  </si>
  <si>
    <t>48 discos</t>
  </si>
  <si>
    <t>Subsolador (sulcos a 50 cm)</t>
  </si>
  <si>
    <t>1 ferro</t>
  </si>
  <si>
    <t>2 ferros</t>
  </si>
  <si>
    <t>3 ferros</t>
  </si>
  <si>
    <t>9 ferros</t>
  </si>
  <si>
    <t>Chisel, sulcos a 35 cm</t>
  </si>
  <si>
    <t>5 braços</t>
  </si>
  <si>
    <t>7 braços</t>
  </si>
  <si>
    <t>9 braços</t>
  </si>
  <si>
    <t>11 braços</t>
  </si>
  <si>
    <t>13 braços</t>
  </si>
  <si>
    <t>15 braços</t>
  </si>
  <si>
    <t>17 braços</t>
  </si>
  <si>
    <t>19 braços</t>
  </si>
  <si>
    <t>Vibrocultor pesado, sulcos a 25 cm</t>
  </si>
  <si>
    <t>Vibrocultor ligeiro, sulcos a 10 cm</t>
  </si>
  <si>
    <t>18 braços</t>
  </si>
  <si>
    <t>22 braços</t>
  </si>
  <si>
    <t>27 braços</t>
  </si>
  <si>
    <t>36 braços</t>
  </si>
  <si>
    <t>45 braços</t>
  </si>
  <si>
    <t>54 braços</t>
  </si>
  <si>
    <t>63 braços</t>
  </si>
  <si>
    <t>Sachador, 2-6 linha a 75 cm</t>
  </si>
  <si>
    <t>1,50 m - 2 linhas</t>
  </si>
  <si>
    <t>2,25 m - 3 linhas</t>
  </si>
  <si>
    <t>3,00 m - 4 linhas</t>
  </si>
  <si>
    <t>3,75 m - 5 linhas</t>
  </si>
  <si>
    <t>4,50 m - 6 linhas</t>
  </si>
  <si>
    <t>Sachador - fertilizador, 2-6 linhas a 75 cm</t>
  </si>
  <si>
    <t>Derregador</t>
  </si>
  <si>
    <t>4 ferros</t>
  </si>
  <si>
    <t>Rolo destorroador - compressor</t>
  </si>
  <si>
    <t>1,8 m</t>
  </si>
  <si>
    <t>2,4 m</t>
  </si>
  <si>
    <t>Distribuidor de adubo, centrífugo, montado</t>
  </si>
  <si>
    <t>600 litros</t>
  </si>
  <si>
    <t>4 linhas</t>
  </si>
  <si>
    <t>6 linhas</t>
  </si>
  <si>
    <t>Distribuidor de adubo, centrífugo, rebocado</t>
  </si>
  <si>
    <t>1000 litros</t>
  </si>
  <si>
    <t>2000 litros</t>
  </si>
  <si>
    <t>4 m</t>
  </si>
  <si>
    <t>Semeador de rolos, para culturas pratenses</t>
  </si>
  <si>
    <t>2 linhas</t>
  </si>
  <si>
    <t>3 linhas</t>
  </si>
  <si>
    <t>5 linhas</t>
  </si>
  <si>
    <t>Polvilhador</t>
  </si>
  <si>
    <t>130 kg</t>
  </si>
  <si>
    <t>150 kg</t>
  </si>
  <si>
    <t>170 kg</t>
  </si>
  <si>
    <t>200 kg</t>
  </si>
  <si>
    <t>400 litros - 8 m</t>
  </si>
  <si>
    <t>450 litros - 9 m</t>
  </si>
  <si>
    <t>600 litros - 12 m</t>
  </si>
  <si>
    <t>800 litros - 16 m</t>
  </si>
  <si>
    <t>Pulverizador com ventilador, montado</t>
  </si>
  <si>
    <t>1500 litros - 12 m</t>
  </si>
  <si>
    <t>1700 litros - 14 m</t>
  </si>
  <si>
    <t>2000 litros - 16</t>
  </si>
  <si>
    <t>Pulverizador com ventilador, rebocado</t>
  </si>
  <si>
    <t>1300 litros</t>
  </si>
  <si>
    <t>1500 litros</t>
  </si>
  <si>
    <t>1700 litros</t>
  </si>
  <si>
    <t>1,4 m</t>
  </si>
  <si>
    <t>1,6 m</t>
  </si>
  <si>
    <t>2,1 m</t>
  </si>
  <si>
    <t>Colhedor de forragem, de precisão com pick-up</t>
  </si>
  <si>
    <t>1 linha</t>
  </si>
  <si>
    <t>Gadanheira de discos</t>
  </si>
  <si>
    <t>2 m</t>
  </si>
  <si>
    <t>Gadanheira convencional de facas, corte duplo</t>
  </si>
  <si>
    <t>Virador - Juntador de fenos, com 4 discos</t>
  </si>
  <si>
    <t>14 x 18''</t>
  </si>
  <si>
    <t>1,2 m (fardo)</t>
  </si>
  <si>
    <t>1,5 m (fardo)</t>
  </si>
  <si>
    <t>Reboque para colheita de forragem</t>
  </si>
  <si>
    <t>3,5 tPB</t>
  </si>
  <si>
    <t>4,5 tPB</t>
  </si>
  <si>
    <t>5,3 tPB</t>
  </si>
  <si>
    <t>7 tPB</t>
  </si>
  <si>
    <t>8 tPB</t>
  </si>
  <si>
    <t>9 tPB</t>
  </si>
  <si>
    <t>10,5 tPB</t>
  </si>
  <si>
    <t>12 tPB</t>
  </si>
  <si>
    <t>Reboque basculante, caixa metálica</t>
  </si>
  <si>
    <t>Arrancador de batata</t>
  </si>
  <si>
    <t>Pá niveladora traseira</t>
  </si>
  <si>
    <t>Caixa niveladora</t>
  </si>
  <si>
    <t>3,5 m</t>
  </si>
  <si>
    <t>Perfuradora, montada</t>
  </si>
  <si>
    <t>12''</t>
  </si>
  <si>
    <t>Despontadora de sarmentos</t>
  </si>
  <si>
    <t>2 barras</t>
  </si>
  <si>
    <t>Triturador de vides</t>
  </si>
  <si>
    <t>Máquina de vindimar rebocada</t>
  </si>
  <si>
    <t>1400 litros</t>
  </si>
  <si>
    <t>Moto - sachador (Diesel)</t>
  </si>
  <si>
    <t>8 cv</t>
  </si>
  <si>
    <t>Motocultivador com fresa</t>
  </si>
  <si>
    <t>12 cv</t>
  </si>
  <si>
    <t>14 cv</t>
  </si>
  <si>
    <t>18 cv</t>
  </si>
  <si>
    <t>Motogadanheira</t>
  </si>
  <si>
    <t>11 cv</t>
  </si>
  <si>
    <t>Motoceifeira atadeira (Diesel)</t>
  </si>
  <si>
    <t>Motocultivador com pulverizador de 180 litros</t>
  </si>
  <si>
    <t>160 cv - 3,2 m</t>
  </si>
  <si>
    <t>180 cv - 3,6 m</t>
  </si>
  <si>
    <t>210 cv - 4,2 m</t>
  </si>
  <si>
    <t>240 cv - 4,8 m</t>
  </si>
  <si>
    <t>160 cv - 3 linhas</t>
  </si>
  <si>
    <t>180 cv - 3 linhas</t>
  </si>
  <si>
    <t>210 cv - 4 linhas</t>
  </si>
  <si>
    <t>240 cv - 4 linhas</t>
  </si>
  <si>
    <t>30 cv - 2,1 m</t>
  </si>
  <si>
    <t>45 cv - 3,2 m</t>
  </si>
  <si>
    <t>80 cv - 3,2 m</t>
  </si>
  <si>
    <t>90 cv - 3,6 m</t>
  </si>
  <si>
    <t>105 cv - 4,2 m</t>
  </si>
  <si>
    <t>120 cv - 4,8 m</t>
  </si>
  <si>
    <t>135 cv - 5,4 m</t>
  </si>
  <si>
    <t>150 cv - 6,0 m</t>
  </si>
  <si>
    <t>80 cv - 2,7 m</t>
  </si>
  <si>
    <t>90 cv - 3,2 m</t>
  </si>
  <si>
    <t>105 cv - 3,6 m</t>
  </si>
  <si>
    <t>120 cv - 4,2 m</t>
  </si>
  <si>
    <t>135 cv - 4,8 m</t>
  </si>
  <si>
    <t>150 cv - 5,4 m</t>
  </si>
  <si>
    <t>80 cv - 3 linhas</t>
  </si>
  <si>
    <t>90 cv - 4 linhas</t>
  </si>
  <si>
    <t>105 cv - 4 linhas</t>
  </si>
  <si>
    <t>120 cv - 5 linhas</t>
  </si>
  <si>
    <t>135 cv - 5 linhas</t>
  </si>
  <si>
    <t>150 cv - 6 linhas</t>
  </si>
  <si>
    <t>Máquina de vindimar automotriz</t>
  </si>
  <si>
    <t>Colhedor automotriz de batata</t>
  </si>
  <si>
    <t>120 cv - 2t</t>
  </si>
  <si>
    <t>Nº</t>
  </si>
  <si>
    <t>(m)</t>
  </si>
  <si>
    <t>(Km/h)</t>
  </si>
  <si>
    <t>(ha/h)</t>
  </si>
  <si>
    <t>(ha)</t>
  </si>
  <si>
    <t>Pr.Maq.</t>
  </si>
  <si>
    <t>Pot.</t>
  </si>
  <si>
    <t>Seg.</t>
  </si>
  <si>
    <t>Cons.C.</t>
  </si>
  <si>
    <t>(l/h)</t>
  </si>
  <si>
    <t>(€/ha)</t>
  </si>
  <si>
    <t>PrAtr</t>
  </si>
  <si>
    <t>TpTt_Atr</t>
  </si>
  <si>
    <t>Mod ?</t>
  </si>
  <si>
    <t>AreaTt</t>
  </si>
  <si>
    <t>TpTotal</t>
  </si>
  <si>
    <t>h/ha</t>
  </si>
  <si>
    <t>?</t>
  </si>
  <si>
    <t>TpAtr</t>
  </si>
  <si>
    <t>Ct_Tt</t>
  </si>
  <si>
    <t>Amarração</t>
  </si>
  <si>
    <t>CALENDÁRIO CULTURAL</t>
  </si>
  <si>
    <t>Ar (ha):</t>
  </si>
  <si>
    <t>J1</t>
  </si>
  <si>
    <t>J2</t>
  </si>
  <si>
    <t>J3</t>
  </si>
  <si>
    <t>F1</t>
  </si>
  <si>
    <t>F2</t>
  </si>
  <si>
    <t>F3</t>
  </si>
  <si>
    <t>M1</t>
  </si>
  <si>
    <t>M2</t>
  </si>
  <si>
    <t>M3</t>
  </si>
  <si>
    <t>A1</t>
  </si>
  <si>
    <t>A2</t>
  </si>
  <si>
    <t>A3</t>
  </si>
  <si>
    <t>S1</t>
  </si>
  <si>
    <t>S2</t>
  </si>
  <si>
    <t>S3</t>
  </si>
  <si>
    <t>O1</t>
  </si>
  <si>
    <t>O2</t>
  </si>
  <si>
    <t>O3</t>
  </si>
  <si>
    <t>N1</t>
  </si>
  <si>
    <t>N2</t>
  </si>
  <si>
    <t>N3</t>
  </si>
  <si>
    <t>D1</t>
  </si>
  <si>
    <t>D2</t>
  </si>
  <si>
    <t>D3</t>
  </si>
  <si>
    <t>TOT</t>
  </si>
  <si>
    <t>Equip:</t>
  </si>
  <si>
    <t>Trit.Sarmentos</t>
  </si>
  <si>
    <t>Loc. Adubos</t>
  </si>
  <si>
    <t>???</t>
  </si>
  <si>
    <t>Tt- Equip.</t>
  </si>
  <si>
    <t>P. manual</t>
  </si>
  <si>
    <t>Tt-MãoObra</t>
  </si>
  <si>
    <t>MÃO DE OBRA (tp)</t>
  </si>
  <si>
    <t>EQUIPAMENTOS</t>
  </si>
  <si>
    <t>CV(€)</t>
  </si>
  <si>
    <t>CF(€/h)</t>
  </si>
  <si>
    <t>CV(€/h)</t>
  </si>
  <si>
    <t>CT(€/h)</t>
  </si>
  <si>
    <t>CF(€)</t>
  </si>
  <si>
    <t>CT(€)</t>
  </si>
  <si>
    <t>(desig.)</t>
  </si>
  <si>
    <t>(unid)</t>
  </si>
  <si>
    <t>MOp_Tratorista -&gt;</t>
  </si>
  <si>
    <t>Pq_Máquinas-&gt;</t>
  </si>
  <si>
    <t>TxJuros(%):</t>
  </si>
  <si>
    <t>TSR (%):</t>
  </si>
  <si>
    <t>CCb(l/cv.h):</t>
  </si>
  <si>
    <t>PrCb(€/L):</t>
  </si>
  <si>
    <t>CLb(l/cv.h):</t>
  </si>
  <si>
    <t>PrLb(€/L):</t>
  </si>
  <si>
    <t>PrPn(€):</t>
  </si>
  <si>
    <t>DrPn(h):</t>
  </si>
  <si>
    <t>Rp (%):</t>
  </si>
  <si>
    <t>Man(%Rp):</t>
  </si>
  <si>
    <t>Cond(€/h):</t>
  </si>
  <si>
    <t>ValAtr-</t>
  </si>
  <si>
    <t>PrRef</t>
  </si>
  <si>
    <t>Nº Ref</t>
  </si>
  <si>
    <t>Nº Atr</t>
  </si>
  <si>
    <t>Amort</t>
  </si>
  <si>
    <t>Juros</t>
  </si>
  <si>
    <t>Sg+Rc</t>
  </si>
  <si>
    <t>CtPn</t>
  </si>
  <si>
    <t>(horas)</t>
  </si>
  <si>
    <t>Tractor 2RM</t>
  </si>
  <si>
    <t>Tractor 4RM</t>
  </si>
  <si>
    <t>Tractor rastos</t>
  </si>
  <si>
    <t>Marca-</t>
  </si>
  <si>
    <t>Mod.-</t>
  </si>
  <si>
    <t>Pot(cv)-</t>
  </si>
  <si>
    <t>Tractor</t>
  </si>
  <si>
    <t>Pr.tractor</t>
  </si>
  <si>
    <t>T.J.</t>
  </si>
  <si>
    <t>T.S.R.</t>
  </si>
  <si>
    <t>Depr.</t>
  </si>
  <si>
    <t>C.C.</t>
  </si>
  <si>
    <t>Pr. C.</t>
  </si>
  <si>
    <t>CtoC</t>
  </si>
  <si>
    <t>C.L.</t>
  </si>
  <si>
    <t>P. L.</t>
  </si>
  <si>
    <t>CtoLubr.</t>
  </si>
  <si>
    <t>P. p.</t>
  </si>
  <si>
    <t>D.p</t>
  </si>
  <si>
    <t>Pn.</t>
  </si>
  <si>
    <t>Rep/%</t>
  </si>
  <si>
    <t>Rep/h.</t>
  </si>
  <si>
    <t>M.O./Man.</t>
  </si>
  <si>
    <t>Cond.</t>
  </si>
  <si>
    <t>TxJ.Ref(%)-</t>
  </si>
  <si>
    <t>TxJ.Atr(%)-</t>
  </si>
  <si>
    <t>PrRef.</t>
  </si>
  <si>
    <t>PrAtr.</t>
  </si>
  <si>
    <t>Nº Ref.</t>
  </si>
  <si>
    <t>NºAtr</t>
  </si>
  <si>
    <t>Repar.</t>
  </si>
  <si>
    <t>Amort.</t>
  </si>
  <si>
    <t>CtRep.</t>
  </si>
  <si>
    <t>Cultivador rotativo de bicos, c/ 4 ferros subsoladores e rolo</t>
  </si>
  <si>
    <t>Charrua p/ surriba, c/ 1 ferro de 24'', reversível, rebocada</t>
  </si>
  <si>
    <t>Charrua c/ 2-3 ferros de 16'', corpo fixo, rebocada</t>
  </si>
  <si>
    <t>Charrua c/ 2-3 ferros de 18'' (reforçada), corpo fixo, rebocada</t>
  </si>
  <si>
    <t>Charrua c/ 1 ferro, 10-18'', reversão mecânica, montada</t>
  </si>
  <si>
    <t>Charrua c/ 2 ferros, 10-12'', reversão mecânica, montada</t>
  </si>
  <si>
    <t>Charrua c/ 2-5 ferros, 14-18'', reversão hidráulica montada</t>
  </si>
  <si>
    <t>Charrua vinhateira de aivecas, sem escavadoras</t>
  </si>
  <si>
    <t>Charrua vinhateira de aivecas, com escavadoras</t>
  </si>
  <si>
    <t>Grade offset com discos de 24'', lev. Hidráulico, rebocada</t>
  </si>
  <si>
    <t>Escarificador convencional, braços a 27 cm (articulados)</t>
  </si>
  <si>
    <t>Distribuidor de adubo (600 litros), de sulcos, montado</t>
  </si>
  <si>
    <t>Distribuidor de adubo (600 litros), de linhas, montado</t>
  </si>
  <si>
    <t>Semeador - fertilizador de linhas, para cereais de Outono</t>
  </si>
  <si>
    <t>Semeados - fertilizador de precisão (monogrão), pneumático</t>
  </si>
  <si>
    <t>Pulverizador convencional, montado, barras 8-16 m</t>
  </si>
  <si>
    <t>530 litros - 10,5 m</t>
  </si>
  <si>
    <t>Pulverizador convencional, rebocado, barra 10,5-16 m</t>
  </si>
  <si>
    <t>1300 litros - 10,5 m</t>
  </si>
  <si>
    <t>Colhedor de forragem, de martelos c/ corte simples</t>
  </si>
  <si>
    <t>Colhedor de forragem, de martelos c/ corte duplo</t>
  </si>
  <si>
    <t>Colhedor de forragem, de precisão com barra de corte</t>
  </si>
  <si>
    <t>Colhedor de forragem, de precisão com unidade para milho</t>
  </si>
  <si>
    <t>Colhedor de forragem, de precisão especial para milho</t>
  </si>
  <si>
    <t>Gadanheira convencional de facas, corte simples</t>
  </si>
  <si>
    <t>Gadanheira condicionadora, de discos e rolos, montada</t>
  </si>
  <si>
    <t>Gadanheira condicionadora, de discos e rolos, rebocada</t>
  </si>
  <si>
    <t>Enfardadeira convencional (adicionar o custo do fio consumido)</t>
  </si>
  <si>
    <t>Enfardadeira rotativa (adicionar o custo do fio consumido)</t>
  </si>
  <si>
    <t>Carregador de fardos (rampa elevadora), montado</t>
  </si>
  <si>
    <t>Colhedor de forragem automotriz, com barra de corte</t>
  </si>
  <si>
    <t>Colhedor de forragem automotriz, para milho, com 3-4 linhas</t>
  </si>
  <si>
    <t>Gadanheira condicionadora automotriz, de facas e rolos</t>
  </si>
  <si>
    <t>Ceifeira debulhadora automotriz, de rodas para trigo</t>
  </si>
  <si>
    <t>Ceifeira debulhadora automotriz, de lagartas para arroz</t>
  </si>
  <si>
    <t>Ceifeira debulhadora automotriz, de rodas para milho, 3-6 linhas</t>
  </si>
  <si>
    <t>80 cv - 2000 litros</t>
  </si>
  <si>
    <t>105 cv - 2300 litros</t>
  </si>
  <si>
    <t>Atenção - Para as 3 primeiras colunas da tabela do IHERA utiliza-se VUtil=10 e para a 4ª 8 anos</t>
  </si>
  <si>
    <t>Prépodadora</t>
  </si>
  <si>
    <t>Triturador de erva (vinha)</t>
  </si>
  <si>
    <t>Triturador de sarmentos (vinha)</t>
  </si>
  <si>
    <t>Nº Pas.</t>
  </si>
  <si>
    <t>Area</t>
  </si>
  <si>
    <t>Op.Deter</t>
  </si>
  <si>
    <t>Op.Atrib</t>
  </si>
  <si>
    <t>(?)</t>
  </si>
  <si>
    <t>Pot.Mot.</t>
  </si>
  <si>
    <t>CtoComb.</t>
  </si>
  <si>
    <t>Rep.</t>
  </si>
  <si>
    <t>M.O.</t>
  </si>
  <si>
    <t>Man.</t>
  </si>
  <si>
    <t>(% M.O.)</t>
  </si>
  <si>
    <t>Utiliz/anual</t>
  </si>
  <si>
    <t>C/h(o.c.)</t>
  </si>
  <si>
    <t>C/ha(oc)</t>
  </si>
  <si>
    <t xml:space="preserve"> (ha)</t>
  </si>
  <si>
    <t xml:space="preserve"> Prepodadora 
(Pp)</t>
  </si>
  <si>
    <t>Trator + Pp</t>
  </si>
  <si>
    <t>Rendimento em trabalho e custos de uma pré-podadora</t>
  </si>
  <si>
    <t>Rendimento em trabalho e custos de um triturador de sarmentos</t>
  </si>
  <si>
    <t>Triturado de Sarmentos 
(Ts)</t>
  </si>
  <si>
    <t>TS</t>
  </si>
  <si>
    <t>Trator + Ts</t>
  </si>
  <si>
    <t>Rendimento em trabalho e custos de um localizador de adubos</t>
  </si>
  <si>
    <t>Localizador de adubos 
(LA)</t>
  </si>
  <si>
    <t>Trator + LA</t>
  </si>
  <si>
    <t>Rendimento em trabalho e custos de um escarificador</t>
  </si>
  <si>
    <t>Escarificador 
(Esc)</t>
  </si>
  <si>
    <t>Trator + Esc</t>
  </si>
  <si>
    <t>Rendimento em trabalho e custos de um PJT</t>
  </si>
  <si>
    <t>Pulverizador de jato transportado 
(PJT)</t>
  </si>
  <si>
    <t>PJT</t>
  </si>
  <si>
    <t>Trator + PJT</t>
  </si>
  <si>
    <t>Rendimento em trabalho e custos de uma despontadora</t>
  </si>
  <si>
    <t>Trator + Desp</t>
  </si>
  <si>
    <t>Despontadora 
(Desp)</t>
  </si>
  <si>
    <t>Rendimento em trabalho e custos de um reboque</t>
  </si>
  <si>
    <t>Tratores / Equipamentos - dados e encargos</t>
  </si>
  <si>
    <t>Dados relativos à situação em análise</t>
  </si>
  <si>
    <t>Custos</t>
  </si>
  <si>
    <t>Operações</t>
  </si>
  <si>
    <t>Mão Obra:</t>
  </si>
  <si>
    <t>Nº de MO</t>
  </si>
  <si>
    <t>CF/h(Eq.)</t>
  </si>
  <si>
    <t>CV/h(Eq.)</t>
  </si>
  <si>
    <t>Cto(h)(Eq.)</t>
  </si>
  <si>
    <t>Cto/ha(Eq)</t>
  </si>
  <si>
    <t>C/ano(o.c.)</t>
  </si>
  <si>
    <t>Localizador de adubo (LA)</t>
  </si>
  <si>
    <t>Escarificador (Esc)</t>
  </si>
  <si>
    <t>Despontadora (Desp)</t>
  </si>
  <si>
    <t>Trator + Reboque</t>
  </si>
  <si>
    <t>CFt(€/ano)</t>
  </si>
  <si>
    <t>CVt(€/ano)</t>
  </si>
  <si>
    <t>CTt(€/ano)</t>
  </si>
  <si>
    <t>….</t>
  </si>
  <si>
    <t>TRATORES
+
EQUIPAMENTOS</t>
  </si>
  <si>
    <t>BENS VARIÁVEIS
(pesticidas, adubos, …)</t>
  </si>
  <si>
    <t>BENS FIXOS
(MO permanente, construções, …)</t>
  </si>
  <si>
    <t>VU (anos)</t>
  </si>
  <si>
    <t>CF(€/ano)</t>
  </si>
  <si>
    <t>CV(€/ano)</t>
  </si>
  <si>
    <t>CT(€/ano)</t>
  </si>
  <si>
    <t>Amarração de vides
(enrola)</t>
  </si>
  <si>
    <t>h/MOt/ha</t>
  </si>
  <si>
    <t>h/Mot/ano</t>
  </si>
  <si>
    <t>€/mês/un</t>
  </si>
  <si>
    <t>€/ano</t>
  </si>
  <si>
    <t>Herbicida (L)</t>
  </si>
  <si>
    <t>Adubo 2 (K2O) (kg)</t>
  </si>
  <si>
    <t>Adubo 3 (N) (kg)</t>
  </si>
  <si>
    <t>Cálcareo (kg)</t>
  </si>
  <si>
    <t>Benfeitorias:</t>
  </si>
  <si>
    <t>Pesticidas1 (L)</t>
  </si>
  <si>
    <t>Pesticidas2 (L)</t>
  </si>
  <si>
    <t>€/m2</t>
  </si>
  <si>
    <t>Parque de máquinas</t>
  </si>
  <si>
    <t>Armazém</t>
  </si>
  <si>
    <t>especializada (podador)</t>
  </si>
  <si>
    <t xml:space="preserve">não especializada </t>
  </si>
  <si>
    <t>Herbic -&gt;</t>
  </si>
  <si>
    <t>Pestic2 -&gt;</t>
  </si>
  <si>
    <t>Pestic1-&gt;</t>
  </si>
  <si>
    <t>Adubo1 -&gt;</t>
  </si>
  <si>
    <t>Adubo2 -&gt;</t>
  </si>
  <si>
    <t>Adubo3 -&gt;</t>
  </si>
  <si>
    <t>Calcareo -&gt;</t>
  </si>
  <si>
    <t>Tt-MaoObra</t>
  </si>
  <si>
    <t>Adubo 1 (P) (kg)</t>
  </si>
  <si>
    <t>Armazém -&gt;</t>
  </si>
  <si>
    <t>(€/ano)</t>
  </si>
  <si>
    <t>MB = RB - CV</t>
  </si>
  <si>
    <t>RB = Prod * €/kg</t>
  </si>
  <si>
    <t>4RM</t>
  </si>
  <si>
    <t>Localizador de adubos</t>
  </si>
  <si>
    <t>Escrificador</t>
  </si>
  <si>
    <t>Reboque para transportes vários (3.5 ton)</t>
  </si>
  <si>
    <t>horas / ano atribuídas vs custos</t>
  </si>
  <si>
    <t xml:space="preserve">TOTAIS/ha </t>
  </si>
  <si>
    <t>MO+Eq+Tr:</t>
  </si>
  <si>
    <t xml:space="preserve">TOTAIS/área </t>
  </si>
  <si>
    <t>EFICIÊNCIAS DE CAMPO E VELOCIDADES DE TRABALHO</t>
  </si>
  <si>
    <t xml:space="preserve">1- MÁQUINAS DE PREPARAÇÃO E TRABALHO DO TERRENO </t>
  </si>
  <si>
    <t xml:space="preserve">   Charrua de aivecas</t>
  </si>
  <si>
    <t>4.5 - 7.0</t>
  </si>
  <si>
    <t>70 - 85</t>
  </si>
  <si>
    <t xml:space="preserve">   Charrua de discos </t>
  </si>
  <si>
    <t>5.0 - 8.0</t>
  </si>
  <si>
    <t xml:space="preserve">75 - 90 </t>
  </si>
  <si>
    <t xml:space="preserve">   Derregador de 3 ferros</t>
  </si>
  <si>
    <t>4.0 - 5.0</t>
  </si>
  <si>
    <t xml:space="preserve">75 - 85  </t>
  </si>
  <si>
    <t xml:space="preserve">   Desbastador</t>
  </si>
  <si>
    <t>2.5 - 3.5</t>
  </si>
  <si>
    <t xml:space="preserve">75 - 85 </t>
  </si>
  <si>
    <t xml:space="preserve">   Enxada mecânica </t>
  </si>
  <si>
    <t>1.5 - 3.5</t>
  </si>
  <si>
    <t>75 - 85</t>
  </si>
  <si>
    <t xml:space="preserve">   Escarificador</t>
  </si>
  <si>
    <t>75 - 90</t>
  </si>
  <si>
    <t xml:space="preserve">   Escarificador vinhateiro</t>
  </si>
  <si>
    <t>2.0 - 5.0</t>
  </si>
  <si>
    <t xml:space="preserve">   Vibrocultor </t>
  </si>
  <si>
    <t>3.0 - 8.0</t>
  </si>
  <si>
    <t xml:space="preserve">   Fresa </t>
  </si>
  <si>
    <t>2.0 - 4.0</t>
  </si>
  <si>
    <t>80 - 90</t>
  </si>
  <si>
    <t xml:space="preserve">   Grades de dentes e de molas</t>
  </si>
  <si>
    <t>5.5 - 9.0</t>
  </si>
  <si>
    <t>65 - 85</t>
  </si>
  <si>
    <t xml:space="preserve">   Grades de discos </t>
  </si>
  <si>
    <t xml:space="preserve">   Rolo</t>
  </si>
  <si>
    <t>5.0 - 7.0</t>
  </si>
  <si>
    <t xml:space="preserve">   Sachador</t>
  </si>
  <si>
    <t>70 - 90</t>
  </si>
  <si>
    <t xml:space="preserve">   Sachador rotativo </t>
  </si>
  <si>
    <t>7.0 - 12.0</t>
  </si>
  <si>
    <t xml:space="preserve">   Subsolador </t>
  </si>
  <si>
    <t>1.0 - 5.0</t>
  </si>
  <si>
    <t>2- MÁQUINAS DE SEMENTEIRA. FERTILIZAÇÃO. DEFESA E PROTECÇÃO DAS CULTURAS</t>
  </si>
  <si>
    <t xml:space="preserve">   Dístribuidor centrífugo</t>
  </si>
  <si>
    <t>6.0 - 10.0</t>
  </si>
  <si>
    <t>40 - 50</t>
  </si>
  <si>
    <t xml:space="preserve">   Dístribuidor centrífugo de distribuição a granel</t>
  </si>
  <si>
    <t>50 - 75</t>
  </si>
  <si>
    <t xml:space="preserve">   Dístribuidor centrífugo clássico</t>
  </si>
  <si>
    <t>7.0 - 10.0</t>
  </si>
  <si>
    <t>45 - 65</t>
  </si>
  <si>
    <t xml:space="preserve">   Espalhadores de estrume </t>
  </si>
  <si>
    <t>3.0 - 5.0</t>
  </si>
  <si>
    <t xml:space="preserve">   Distribuidores de estrume</t>
  </si>
  <si>
    <t>4.0 - 6.0</t>
  </si>
  <si>
    <t xml:space="preserve">   Plantador de batata de alimentação manual</t>
  </si>
  <si>
    <t xml:space="preserve">1.5 - 2.5 </t>
  </si>
  <si>
    <t>55 - 65</t>
  </si>
  <si>
    <t xml:space="preserve">   Plantador de batata de alimentação automática  </t>
  </si>
  <si>
    <t xml:space="preserve">   Pulverizadores</t>
  </si>
  <si>
    <t>40 - 60</t>
  </si>
  <si>
    <t xml:space="preserve">   Polvilhadores</t>
  </si>
  <si>
    <t xml:space="preserve">   Semeador em linhas (semente miúda)</t>
  </si>
  <si>
    <t>4.0 - 9.0</t>
  </si>
  <si>
    <t>65 - 80</t>
  </si>
  <si>
    <t xml:space="preserve">   Semeador de precisão (monogrão)</t>
  </si>
  <si>
    <t>3.0 - 10.0</t>
  </si>
  <si>
    <t>60 - 80</t>
  </si>
  <si>
    <t xml:space="preserve">   Transplantadores</t>
  </si>
  <si>
    <t xml:space="preserve">3- MÁQUINAS DE COLHEITA </t>
  </si>
  <si>
    <t xml:space="preserve">   Arrancador de batatas</t>
  </si>
  <si>
    <t xml:space="preserve">   Arrancador-carregador de batatas</t>
  </si>
  <si>
    <t>1.5 - 2.5</t>
  </si>
  <si>
    <t>65 - 75</t>
  </si>
  <si>
    <t xml:space="preserve">   Arrancador de beterrabas</t>
  </si>
  <si>
    <t>3.5 - 4.5</t>
  </si>
  <si>
    <t>45 - 55</t>
  </si>
  <si>
    <t xml:space="preserve">   Arrancador-carregador de beterrabas </t>
  </si>
  <si>
    <t>45 - 60</t>
  </si>
  <si>
    <t xml:space="preserve">   Ceifeira-debulhadora automotriz  </t>
  </si>
  <si>
    <t>3.0 - 6.0</t>
  </si>
  <si>
    <t xml:space="preserve">   Ceifeira-debulhadora rebocada </t>
  </si>
  <si>
    <t>2.5 - 5.0</t>
  </si>
  <si>
    <t xml:space="preserve">   Colhedor-descamisador de milho</t>
  </si>
  <si>
    <t>55 - 70</t>
  </si>
  <si>
    <t xml:space="preserve">   Colhedor de forragens (milho e erva)</t>
  </si>
  <si>
    <t>2.0 - 6.0</t>
  </si>
  <si>
    <t xml:space="preserve">   Colhedor-recortador de forragens </t>
  </si>
  <si>
    <t>3.5 - 5.0</t>
  </si>
  <si>
    <t xml:space="preserve">   Enfardadeira em feno</t>
  </si>
  <si>
    <t>3.0 - 7.0</t>
  </si>
  <si>
    <t xml:space="preserve">   Enfardadeira de palha </t>
  </si>
  <si>
    <t>55 - 75</t>
  </si>
  <si>
    <t xml:space="preserve">   Virador</t>
  </si>
  <si>
    <t>6.0 - 8.0</t>
  </si>
  <si>
    <t xml:space="preserve">   Virador-juntador </t>
  </si>
  <si>
    <t>65 - 90</t>
  </si>
  <si>
    <t>4- TRANSPORTES</t>
  </si>
  <si>
    <t xml:space="preserve">   Em carga </t>
  </si>
  <si>
    <t>4 - 12</t>
  </si>
  <si>
    <t xml:space="preserve">   Sem carga </t>
  </si>
  <si>
    <t>10 - 20</t>
  </si>
  <si>
    <t>Adaptado de: C. CULPIN    Profitable Farm Mechanization; D. HUNT    Farm Power and Machinery Management; P. CANDELON    Les Machines Agricoles; F. C. CARY    Tempos-Padrões de Trabalho para Culturas Arvenses de Sequeiro no Alto Alentejo; Catálogos e especificações de fabricantes de material agrícola; CNEMMA    Livre du Maitre    Tome 3</t>
  </si>
  <si>
    <t>5- EQUIPAMENTOS VITÍCOLAS</t>
  </si>
  <si>
    <t xml:space="preserve">   Prépodadora</t>
  </si>
  <si>
    <t xml:space="preserve">   Despontadora</t>
  </si>
  <si>
    <t xml:space="preserve">   Triturador de erva</t>
  </si>
  <si>
    <t xml:space="preserve">   Triturador de sarmentos</t>
  </si>
  <si>
    <t xml:space="preserve">   Reboque / Semi-reboque / Caixa de carga (vinha)</t>
  </si>
  <si>
    <t>5.0 - 10.0</t>
  </si>
  <si>
    <t xml:space="preserve">   Localizador de adubo para a vinha</t>
  </si>
  <si>
    <t>Vel. (km/h)
 Referência</t>
  </si>
  <si>
    <t>Vel. (km/h)
Escolhida</t>
  </si>
  <si>
    <t>Ec (%)
Referência</t>
  </si>
  <si>
    <t>Ec (%) 
Escolhida</t>
  </si>
  <si>
    <t>1.0 - 3.0</t>
  </si>
  <si>
    <t>MOp-&gt;</t>
  </si>
  <si>
    <t>Sg. Social
(%)</t>
  </si>
  <si>
    <t>h/1MOt/ha</t>
  </si>
  <si>
    <t>h/MOt/ano</t>
  </si>
  <si>
    <t>€/ano/1MOt</t>
  </si>
  <si>
    <t>Área (m2)</t>
  </si>
  <si>
    <t>Rec(€/ano)</t>
  </si>
  <si>
    <t>(€/mês/un)</t>
  </si>
  <si>
    <t>MOp_Outros -&gt;</t>
  </si>
  <si>
    <t>Custos anuais</t>
  </si>
  <si>
    <t>CF
(€/ano)</t>
  </si>
  <si>
    <t>CV
(€/ano)</t>
  </si>
  <si>
    <t>CT (CF+CV)
(€/ano)</t>
  </si>
  <si>
    <t>Tratores:</t>
  </si>
  <si>
    <t>Produção final (kg) &gt;</t>
  </si>
  <si>
    <t>Quebras &gt;</t>
  </si>
  <si>
    <t>Produção final corrigida (kg) &gt;</t>
  </si>
  <si>
    <t>Total tratores &gt;</t>
  </si>
  <si>
    <t>Rendimento Bruto (RB) (€/ano) &gt;
(preço x prod. corrigida)</t>
  </si>
  <si>
    <t>Equipamentos:</t>
  </si>
  <si>
    <t>Margem bruta (MB) (€/ano) &gt;
(RB - CV)</t>
  </si>
  <si>
    <t>Cto/kg (€/kg) &gt;</t>
  </si>
  <si>
    <t>Cto/kg-Ref. (€/kg) &gt;</t>
  </si>
  <si>
    <t>Total equip.&gt;</t>
  </si>
  <si>
    <t>Mão-de-obra
(permanente (pm))</t>
  </si>
  <si>
    <t xml:space="preserve">Tratorista(s) </t>
  </si>
  <si>
    <t xml:space="preserve">Trabalhadores 
permanentes </t>
  </si>
  <si>
    <t>Mão-de-obra
(temporária_especializada)</t>
  </si>
  <si>
    <t>poda</t>
  </si>
  <si>
    <t>Mão-de-obra
(temporária_n/ especializada)</t>
  </si>
  <si>
    <t>enrola</t>
  </si>
  <si>
    <t>vindima</t>
  </si>
  <si>
    <t>Outros BF:</t>
  </si>
  <si>
    <t>Hangar</t>
  </si>
  <si>
    <t>Outros BV:</t>
  </si>
  <si>
    <t>Herbicidas</t>
  </si>
  <si>
    <t>Pesticidas</t>
  </si>
  <si>
    <t>Adubos</t>
  </si>
  <si>
    <t>Calcáreo</t>
  </si>
  <si>
    <t>TOTAIS (€/ano)</t>
  </si>
  <si>
    <t xml:space="preserve">Trit.de sarmentos </t>
  </si>
  <si>
    <t>LocAdubo</t>
  </si>
  <si>
    <t xml:space="preserve">Escarificador  </t>
  </si>
  <si>
    <t xml:space="preserve">Despontadora  </t>
  </si>
  <si>
    <t>L/P = RB - CT</t>
  </si>
  <si>
    <t>Reboque
(Reb4.5T)</t>
  </si>
  <si>
    <t>Reboque
(Reboq3.5)</t>
  </si>
  <si>
    <t>Reboq3.5T</t>
  </si>
  <si>
    <t>Reboq4.5T</t>
  </si>
  <si>
    <t>Trator35 -&gt;</t>
  </si>
  <si>
    <t>Trator53 -&gt;</t>
  </si>
  <si>
    <t>Trator60 -&gt;</t>
  </si>
  <si>
    <t>3.5T</t>
  </si>
  <si>
    <t>4.5T</t>
  </si>
  <si>
    <t>Trator35</t>
  </si>
  <si>
    <t>Trator53</t>
  </si>
  <si>
    <t>Trator60</t>
  </si>
  <si>
    <t>Reboque3.5T</t>
  </si>
  <si>
    <t>Reboque4.5T</t>
  </si>
  <si>
    <t>Dados</t>
  </si>
  <si>
    <t>IHERA_Tr</t>
  </si>
  <si>
    <t>Determinações efetuadas relativamente ao trator 35 cv</t>
  </si>
  <si>
    <t>Determinações efetuadas relativamente ao trator 53 cv</t>
  </si>
  <si>
    <t>Determinações efetuadas relativamente ao trator 60 cv</t>
  </si>
  <si>
    <t>IHERA_Eq</t>
  </si>
  <si>
    <t>Prepoda</t>
  </si>
  <si>
    <t>TriSar</t>
  </si>
  <si>
    <t>LocAdubos</t>
  </si>
  <si>
    <t>Escar</t>
  </si>
  <si>
    <t>Pulv</t>
  </si>
  <si>
    <t>Despont</t>
  </si>
  <si>
    <t>Reboq3.5</t>
  </si>
  <si>
    <t>Reboq4.5</t>
  </si>
  <si>
    <t>Determinações efetuadas relativamente ao reboque de 3.5T</t>
  </si>
  <si>
    <t>Determinações efetuadas relativamente ao reboque de 4.5T</t>
  </si>
  <si>
    <t>Enc_TrEquip</t>
  </si>
  <si>
    <t>OpManual</t>
  </si>
  <si>
    <t>CtoTt</t>
  </si>
  <si>
    <t>Res_Eco</t>
  </si>
  <si>
    <t>Vel_EfC</t>
  </si>
  <si>
    <t>Índice</t>
  </si>
  <si>
    <t>Potência vs equipamentos</t>
  </si>
  <si>
    <t>Pot. Necessária
(cv)</t>
  </si>
  <si>
    <t>Pot. Atribuída 
(cv)</t>
  </si>
  <si>
    <t>Horas/ano</t>
  </si>
  <si>
    <t>Triturador de sarmentos</t>
  </si>
  <si>
    <t>Reboque 3.5T</t>
  </si>
  <si>
    <t>OPERAÇÕES CULTURAIS / EQUIPAMENTOS</t>
  </si>
  <si>
    <t>Características da alfaia</t>
  </si>
  <si>
    <t>Res.esp.do solo</t>
  </si>
  <si>
    <t>Vel. Trab.</t>
  </si>
  <si>
    <t>FTr - Bin</t>
  </si>
  <si>
    <t>Rd (Tr-TDF)</t>
  </si>
  <si>
    <t>Potência</t>
  </si>
  <si>
    <t>NºUn - Cap</t>
  </si>
  <si>
    <t>Lg Un. (m)</t>
  </si>
  <si>
    <t>Lg Tr (m)</t>
  </si>
  <si>
    <t>Pr Tr (m)</t>
  </si>
  <si>
    <t>(N/dm2)</t>
  </si>
  <si>
    <t xml:space="preserve"> kN - mN</t>
  </si>
  <si>
    <t>c.v.</t>
  </si>
  <si>
    <t>kW</t>
  </si>
  <si>
    <t>Lavouras</t>
  </si>
  <si>
    <t>Charrua - aiveca</t>
  </si>
  <si>
    <t>Charrua - discos</t>
  </si>
  <si>
    <t>Subsolagem</t>
  </si>
  <si>
    <t>Subsolador</t>
  </si>
  <si>
    <t>Escarificação</t>
  </si>
  <si>
    <t>Vibrocultor</t>
  </si>
  <si>
    <t>Rolagem</t>
  </si>
  <si>
    <t>Rolo</t>
  </si>
  <si>
    <t>Gradagem</t>
  </si>
  <si>
    <t>Grade de dentes</t>
  </si>
  <si>
    <t>Grade discos montada</t>
  </si>
  <si>
    <t>2C 16D</t>
  </si>
  <si>
    <t>2C 18 D</t>
  </si>
  <si>
    <t>Grade discos - off-set</t>
  </si>
  <si>
    <t>18 D</t>
  </si>
  <si>
    <t>20 D</t>
  </si>
  <si>
    <t>24 D</t>
  </si>
  <si>
    <t>Grade discos rebocada</t>
  </si>
  <si>
    <t>28 D</t>
  </si>
  <si>
    <t>30 D</t>
  </si>
  <si>
    <t>36 D</t>
  </si>
  <si>
    <t>Grade discos "tandem"</t>
  </si>
  <si>
    <t>4C 32 D</t>
  </si>
  <si>
    <t>4C 36 D</t>
  </si>
  <si>
    <t>4C 40 D</t>
  </si>
  <si>
    <t>Fresagem</t>
  </si>
  <si>
    <t>Fresa</t>
  </si>
  <si>
    <t>Sacha</t>
  </si>
  <si>
    <t>Sachador (2 L)</t>
  </si>
  <si>
    <t>(3 L)</t>
  </si>
  <si>
    <t>(4 L)</t>
  </si>
  <si>
    <t>(5 L)</t>
  </si>
  <si>
    <t>(6 L)</t>
  </si>
  <si>
    <t>Distribuidores  e localizadores de adubos</t>
  </si>
  <si>
    <t>Distribuidores  tipo clássico</t>
  </si>
  <si>
    <t>Distribuidores montados (200 L)</t>
  </si>
  <si>
    <t>(300 L)</t>
  </si>
  <si>
    <t>(400 L)</t>
  </si>
  <si>
    <t>(600 L)</t>
  </si>
  <si>
    <t>Distribuidores rebocados (1000 L)</t>
  </si>
  <si>
    <t>(2000 L)</t>
  </si>
  <si>
    <t>(3000 L)</t>
  </si>
  <si>
    <t>(4000 L)</t>
  </si>
  <si>
    <t>Localizadores (1 L)</t>
  </si>
  <si>
    <t>(2 L)</t>
  </si>
  <si>
    <t>Sementeira</t>
  </si>
  <si>
    <t>Semeadores em linhas</t>
  </si>
  <si>
    <t>Semeadores monogrão (4L)</t>
  </si>
  <si>
    <t>4 L</t>
  </si>
  <si>
    <t>6 L</t>
  </si>
  <si>
    <t>(8 L)</t>
  </si>
  <si>
    <t>8 L</t>
  </si>
  <si>
    <t>Sementeira Directa</t>
  </si>
  <si>
    <t>Semavator</t>
  </si>
  <si>
    <t>Plantação de Batata</t>
  </si>
  <si>
    <t>Plantador de batata (2 L)</t>
  </si>
  <si>
    <t>Pulverizadores</t>
  </si>
  <si>
    <t>Pulverizadores montados (200 L)</t>
  </si>
  <si>
    <t>Pulverizadores rebocados (1000 L)</t>
  </si>
  <si>
    <t>(1500 L)</t>
  </si>
  <si>
    <t>Gadanheiras</t>
  </si>
  <si>
    <t>Gadanheiras  barra de corte</t>
  </si>
  <si>
    <t xml:space="preserve">Gad.condicionadoras com barra de corte </t>
  </si>
  <si>
    <t>Gadanheiras rotativas de discos</t>
  </si>
  <si>
    <t>Gadanheiras rotativas de tambores (2 T)</t>
  </si>
  <si>
    <t>(4 T)</t>
  </si>
  <si>
    <t>Viradores juntadores</t>
  </si>
  <si>
    <t>Virador juntador de tambor</t>
  </si>
  <si>
    <t>Virador juntador girassol</t>
  </si>
  <si>
    <t>Enfardadeiras</t>
  </si>
  <si>
    <t>Enfardadeiras volantes de média pressão</t>
  </si>
  <si>
    <t>Enfardadeiras volantes de alta pressão</t>
  </si>
  <si>
    <t>Enfardadeiras de fardos redondos</t>
  </si>
  <si>
    <t>Colhedores de forragens</t>
  </si>
  <si>
    <t>Colhedor de facas de corte simples</t>
  </si>
  <si>
    <t>Colhedor de faca de corte duplo</t>
  </si>
  <si>
    <t>Colhedor de milho (1 L)</t>
  </si>
  <si>
    <t>Máquina de desensilar</t>
  </si>
  <si>
    <t>Colheita de Beterraba</t>
  </si>
  <si>
    <t>Descoroador</t>
  </si>
  <si>
    <t>Arrancador-alinhador</t>
  </si>
  <si>
    <t>Colheita da Batata</t>
  </si>
  <si>
    <t>Arrancador (1 L)</t>
  </si>
  <si>
    <t>Colheita de Cereais</t>
  </si>
  <si>
    <t>Ceifeira debulhadora à t.d.f.</t>
  </si>
  <si>
    <t>Trituradores de residuos</t>
  </si>
  <si>
    <t>Trituradores</t>
  </si>
  <si>
    <t>Reboques</t>
  </si>
  <si>
    <t>Reboques (3.5 T)</t>
  </si>
  <si>
    <t>(4.5 T)</t>
  </si>
  <si>
    <t>(5.3 T)</t>
  </si>
  <si>
    <t>(6.0 T)</t>
  </si>
  <si>
    <t>(7.0 T)</t>
  </si>
  <si>
    <t>(8.0 T)</t>
  </si>
  <si>
    <t>(9.0 T)</t>
  </si>
  <si>
    <t>(10.5 T)</t>
  </si>
  <si>
    <t>(12.5 T)</t>
  </si>
  <si>
    <t>Pré-podadora</t>
  </si>
  <si>
    <t>ENCARGOS ANUAIS COM REPARAÇÕES</t>
  </si>
  <si>
    <t>TIPO DE MATEIAL</t>
  </si>
  <si>
    <t>( % DO VALOR EM NOVO )</t>
  </si>
  <si>
    <t>Charruas, escarificadores, vibrocultores, charruas-grade</t>
  </si>
  <si>
    <t xml:space="preserve">0,07  </t>
  </si>
  <si>
    <t>Grades de discos e de bicos</t>
  </si>
  <si>
    <t xml:space="preserve">0,05  </t>
  </si>
  <si>
    <t>Crosskill</t>
  </si>
  <si>
    <t xml:space="preserve">0,01  </t>
  </si>
  <si>
    <t>Rolos</t>
  </si>
  <si>
    <t>Sachadores</t>
  </si>
  <si>
    <t>Amontoadores</t>
  </si>
  <si>
    <t>Material para tratamento fitossanitário</t>
  </si>
  <si>
    <t>Distribuidores de adubos</t>
  </si>
  <si>
    <t>Semeadores</t>
  </si>
  <si>
    <t xml:space="preserve">0,03  </t>
  </si>
  <si>
    <t>Plantadores</t>
  </si>
  <si>
    <t xml:space="preserve">0,04  </t>
  </si>
  <si>
    <t>Viradores</t>
  </si>
  <si>
    <t xml:space="preserve">0,02  </t>
  </si>
  <si>
    <t>Viradores-juntadores</t>
  </si>
  <si>
    <t>Colhedores-recortadores</t>
  </si>
  <si>
    <t xml:space="preserve">0,08  </t>
  </si>
  <si>
    <t>Enfardadeira</t>
  </si>
  <si>
    <t>Ceifeiras-debulhadoras</t>
  </si>
  <si>
    <t>Arrancadores</t>
  </si>
  <si>
    <t xml:space="preserve">0,1  </t>
  </si>
  <si>
    <t>Espalhadores de estrume</t>
  </si>
  <si>
    <t>Pás hidráulicas</t>
  </si>
  <si>
    <t>Veículos agrários</t>
  </si>
  <si>
    <t>---</t>
  </si>
  <si>
    <t>Tractores diesel a rodas (40-60cv;30-45kW)</t>
  </si>
  <si>
    <t>Análise de encargos com a utilização das máquinas agrícolas". IHERA</t>
  </si>
  <si>
    <t>Prepodadora (Tr60)</t>
  </si>
  <si>
    <t>Localizador de adubos (Tr60)</t>
  </si>
  <si>
    <t>Despontadora (T53)</t>
  </si>
  <si>
    <t>Reboque3.5 (T53)</t>
  </si>
  <si>
    <t>Reboque4.5 (T60)</t>
  </si>
  <si>
    <t>Potencias</t>
  </si>
  <si>
    <t>Reparações</t>
  </si>
  <si>
    <t>Tabela com dados relativos aos tratores utilizados pelo IHERA</t>
  </si>
  <si>
    <t>Tabela com dados relativos aos equipamentos (não tratores) utilizados pelo IHERA</t>
  </si>
  <si>
    <t>Tabela de velocidades e eficiências de campo dos equipamentos</t>
  </si>
  <si>
    <t>Tabela com a potência necessária para trabalhar com os equipamentos</t>
  </si>
  <si>
    <t>Tabela com as taxas (%) para determinação dos encargos com reparações</t>
  </si>
  <si>
    <t>EquipPot</t>
  </si>
  <si>
    <t>Potência dos tratores para trabalhar com os equipamentos</t>
  </si>
  <si>
    <t>TOTAL_Equip &gt;</t>
  </si>
  <si>
    <t>TRATOR60</t>
  </si>
  <si>
    <t>TRATOR53</t>
  </si>
  <si>
    <t>TRATOR35</t>
  </si>
  <si>
    <t>Trator35 (4RM)</t>
  </si>
  <si>
    <t>Trator53 (4RM)</t>
  </si>
  <si>
    <t>Trator60 (4RM)</t>
  </si>
  <si>
    <r>
      <t xml:space="preserve">Trator60 (h/ano) </t>
    </r>
    <r>
      <rPr>
        <b/>
        <sz val="9"/>
        <rFont val="Calibri"/>
        <family val="2"/>
      </rPr>
      <t>→</t>
    </r>
  </si>
  <si>
    <r>
      <t xml:space="preserve">Trator35 (h/ano) </t>
    </r>
    <r>
      <rPr>
        <b/>
        <sz val="8"/>
        <rFont val="Calibri"/>
        <family val="2"/>
      </rPr>
      <t>→</t>
    </r>
  </si>
  <si>
    <r>
      <t xml:space="preserve">Trator60 (h/ano) </t>
    </r>
    <r>
      <rPr>
        <b/>
        <sz val="8"/>
        <rFont val="Calibri"/>
        <family val="2"/>
      </rPr>
      <t>→</t>
    </r>
  </si>
  <si>
    <r>
      <t xml:space="preserve">Trator53 (h/ano) </t>
    </r>
    <r>
      <rPr>
        <b/>
        <sz val="8"/>
        <rFont val="Calibri"/>
        <family val="2"/>
      </rPr>
      <t>→</t>
    </r>
  </si>
  <si>
    <t>Triturador de sarmentos (T53)</t>
  </si>
  <si>
    <t>Escarificador (T53)</t>
  </si>
  <si>
    <t>Pulverizador (T35)</t>
  </si>
  <si>
    <t>Total equip &gt;</t>
  </si>
  <si>
    <t>Total &gt;</t>
  </si>
  <si>
    <t>Prepodadora(Tr60)</t>
  </si>
  <si>
    <t>Trit.Sarmentos(Tr53)</t>
  </si>
  <si>
    <t>Local. adubos(Tr60)</t>
  </si>
  <si>
    <t>Escarificador(Tr53)</t>
  </si>
  <si>
    <t>Pulverizador(Tr35)</t>
  </si>
  <si>
    <t>Despontadora(Tr53)</t>
  </si>
  <si>
    <t>Reboq3.5(Tr53)</t>
  </si>
  <si>
    <t>Reboq4.5(Tr60)</t>
  </si>
  <si>
    <t>Lucro / perda (€/ha)&gt;</t>
  </si>
  <si>
    <t>Lucro / perda (€ total)&gt;
(RB - CT)</t>
  </si>
  <si>
    <r>
      <t xml:space="preserve">Trator53 (h/ano) </t>
    </r>
    <r>
      <rPr>
        <b/>
        <sz val="9"/>
        <rFont val="Calibri"/>
        <family val="2"/>
      </rPr>
      <t>→</t>
    </r>
  </si>
  <si>
    <t>BV(€/ano):</t>
  </si>
  <si>
    <t>BF(€/ano):</t>
  </si>
  <si>
    <t>Resultados económicos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</si>
</sst>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51" x14ac:knownFonts="1">
    <font>
      <sz val="10"/>
      <name val="Arial"/>
    </font>
    <font>
      <sz val="11"/>
      <color indexed="0"/>
      <name val="Times New Roman"/>
      <family val="1"/>
    </font>
    <font>
      <sz val="10"/>
      <color indexed="0"/>
      <name val="Arial"/>
      <family val="2"/>
    </font>
    <font>
      <sz val="10"/>
      <color indexed="2"/>
      <name val="Arial"/>
      <family val="2"/>
    </font>
    <font>
      <sz val="9"/>
      <color indexed="0"/>
      <name val="Arial"/>
      <family val="2"/>
    </font>
    <font>
      <sz val="9"/>
      <color indexed="0"/>
      <name val="Times New Roman"/>
      <family val="1"/>
    </font>
    <font>
      <sz val="10"/>
      <color indexed="0"/>
      <name val="Times New Roman"/>
      <family val="1"/>
    </font>
    <font>
      <sz val="7"/>
      <color indexed="0"/>
      <name val="Times New Roman"/>
      <family val="1"/>
    </font>
    <font>
      <sz val="9"/>
      <color indexed="21"/>
      <name val="Arial"/>
      <family val="2"/>
    </font>
    <font>
      <sz val="12"/>
      <color indexed="0"/>
      <name val="Calibri"/>
      <family val="2"/>
    </font>
    <font>
      <sz val="12"/>
      <name val="Calibri"/>
      <family val="2"/>
    </font>
    <font>
      <sz val="12"/>
      <color indexed="4"/>
      <name val="Calibri"/>
      <family val="2"/>
    </font>
    <font>
      <sz val="12"/>
      <color indexed="20"/>
      <name val="Calibri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8"/>
      <name val="MS Sans Serif"/>
      <family val="2"/>
    </font>
    <font>
      <b/>
      <sz val="12"/>
      <name val="Arial"/>
      <family val="2"/>
    </font>
    <font>
      <sz val="12"/>
      <name val="MS Sans Serif"/>
      <family val="2"/>
    </font>
    <font>
      <b/>
      <sz val="9"/>
      <name val="Arial"/>
      <family val="2"/>
    </font>
    <font>
      <sz val="9"/>
      <color indexed="0"/>
      <name val="Arial"/>
      <family val="2"/>
    </font>
    <font>
      <sz val="10"/>
      <color indexed="0"/>
      <name val="Arial"/>
      <family val="2"/>
    </font>
    <font>
      <sz val="10"/>
      <color indexed="4"/>
      <name val="Arial"/>
      <family val="2"/>
    </font>
    <font>
      <b/>
      <sz val="9"/>
      <color indexed="0"/>
      <name val="Arial"/>
      <family val="2"/>
    </font>
    <font>
      <b/>
      <sz val="10"/>
      <color indexed="0"/>
      <name val="Arial"/>
      <family val="2"/>
    </font>
    <font>
      <b/>
      <sz val="9"/>
      <name val="Calibri"/>
      <family val="2"/>
    </font>
    <font>
      <sz val="9"/>
      <name val="Arial"/>
      <family val="2"/>
    </font>
    <font>
      <sz val="9"/>
      <color indexed="54"/>
      <name val="Times New Roman"/>
      <family val="1"/>
    </font>
    <font>
      <b/>
      <sz val="9"/>
      <color rgb="FFC00000"/>
      <name val="Arial"/>
      <family val="2"/>
    </font>
    <font>
      <sz val="9"/>
      <color rgb="FFC00000"/>
      <name val="Arial"/>
      <family val="2"/>
    </font>
    <font>
      <sz val="9"/>
      <color rgb="FF0070C0"/>
      <name val="Arial"/>
      <family val="2"/>
    </font>
    <font>
      <b/>
      <sz val="9"/>
      <color rgb="FF0070C0"/>
      <name val="Arial"/>
      <family val="2"/>
    </font>
    <font>
      <b/>
      <sz val="9"/>
      <color theme="1"/>
      <name val="Arial"/>
      <family val="2"/>
    </font>
    <font>
      <u/>
      <sz val="10"/>
      <color theme="10"/>
      <name val="Calibri"/>
      <family val="2"/>
    </font>
    <font>
      <u/>
      <sz val="9"/>
      <color theme="10"/>
      <name val="Arial"/>
      <family val="2"/>
    </font>
    <font>
      <sz val="9"/>
      <color theme="1"/>
      <name val="Arial"/>
      <family val="2"/>
    </font>
    <font>
      <b/>
      <u/>
      <sz val="9"/>
      <color theme="1"/>
      <name val="Arial"/>
      <family val="2"/>
    </font>
    <font>
      <sz val="9"/>
      <color rgb="FFFF0000"/>
      <name val="Arial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0"/>
      <name val="Calibri"/>
      <family val="2"/>
    </font>
    <font>
      <b/>
      <u/>
      <sz val="10"/>
      <color theme="10"/>
      <name val="Calibri"/>
      <family val="2"/>
    </font>
    <font>
      <sz val="8"/>
      <name val="MS Sans Serif"/>
    </font>
    <font>
      <b/>
      <sz val="8"/>
      <name val="MS Sans Serif"/>
    </font>
    <font>
      <b/>
      <sz val="10"/>
      <color theme="1"/>
      <name val="Calibri"/>
      <family val="2"/>
    </font>
    <font>
      <b/>
      <sz val="11"/>
      <name val="Arial"/>
      <family val="2"/>
    </font>
    <font>
      <b/>
      <sz val="12"/>
      <name val="Calibri"/>
      <family val="2"/>
    </font>
    <font>
      <b/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36" fillId="0" borderId="0" applyNumberFormat="0" applyFill="0" applyBorder="0" applyAlignment="0" applyProtection="0"/>
    <xf numFmtId="0" fontId="15" fillId="0" borderId="0"/>
  </cellStyleXfs>
  <cellXfs count="384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1" fontId="16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2" fontId="16" fillId="0" borderId="0" xfId="0" applyNumberFormat="1" applyFont="1" applyFill="1" applyAlignment="1">
      <alignment horizontal="center" vertical="center"/>
    </xf>
    <xf numFmtId="164" fontId="16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vertical="center"/>
    </xf>
    <xf numFmtId="1" fontId="13" fillId="0" borderId="0" xfId="0" applyNumberFormat="1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164" fontId="17" fillId="0" borderId="0" xfId="0" applyNumberFormat="1" applyFont="1" applyFill="1" applyAlignment="1">
      <alignment horizontal="center" vertical="center"/>
    </xf>
    <xf numFmtId="2" fontId="17" fillId="0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1" fontId="17" fillId="0" borderId="0" xfId="0" applyNumberFormat="1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2" fontId="16" fillId="0" borderId="0" xfId="0" applyNumberFormat="1" applyFont="1" applyAlignment="1" applyProtection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1" fontId="13" fillId="0" borderId="0" xfId="0" applyNumberFormat="1" applyFont="1" applyAlignment="1">
      <alignment horizontal="right"/>
    </xf>
    <xf numFmtId="1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1" fontId="13" fillId="0" borderId="0" xfId="0" applyNumberFormat="1" applyFont="1" applyAlignment="1" applyProtection="1">
      <alignment horizontal="center"/>
    </xf>
    <xf numFmtId="1" fontId="16" fillId="0" borderId="0" xfId="0" applyNumberFormat="1" applyFont="1" applyAlignment="1" applyProtection="1">
      <alignment horizontal="center"/>
    </xf>
    <xf numFmtId="1" fontId="16" fillId="2" borderId="0" xfId="0" applyNumberFormat="1" applyFont="1" applyFill="1" applyAlignment="1" applyProtection="1">
      <alignment horizontal="center"/>
    </xf>
    <xf numFmtId="2" fontId="16" fillId="0" borderId="0" xfId="0" applyNumberFormat="1" applyFont="1" applyAlignment="1" applyProtection="1">
      <alignment horizontal="center"/>
    </xf>
    <xf numFmtId="1" fontId="16" fillId="0" borderId="0" xfId="0" applyNumberFormat="1" applyFont="1" applyAlignment="1">
      <alignment horizontal="center"/>
    </xf>
    <xf numFmtId="2" fontId="16" fillId="2" borderId="0" xfId="0" applyNumberFormat="1" applyFont="1" applyFill="1" applyAlignment="1" applyProtection="1">
      <alignment horizontal="center"/>
    </xf>
    <xf numFmtId="0" fontId="16" fillId="0" borderId="0" xfId="0" applyFont="1"/>
    <xf numFmtId="2" fontId="16" fillId="2" borderId="0" xfId="0" applyNumberFormat="1" applyFont="1" applyFill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/>
    <xf numFmtId="165" fontId="16" fillId="0" borderId="0" xfId="0" applyNumberFormat="1" applyFont="1" applyFill="1" applyAlignment="1">
      <alignment horizontal="left" vertical="center"/>
    </xf>
    <xf numFmtId="2" fontId="16" fillId="0" borderId="0" xfId="0" applyNumberFormat="1" applyFont="1" applyAlignment="1">
      <alignment vertical="center"/>
    </xf>
    <xf numFmtId="164" fontId="13" fillId="0" borderId="0" xfId="0" applyNumberFormat="1" applyFont="1" applyAlignment="1">
      <alignment horizontal="center" vertical="center"/>
    </xf>
    <xf numFmtId="2" fontId="17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/>
    <xf numFmtId="1" fontId="16" fillId="0" borderId="0" xfId="0" applyNumberFormat="1" applyFont="1" applyFill="1" applyAlignment="1">
      <alignment horizontal="center"/>
    </xf>
    <xf numFmtId="1" fontId="14" fillId="0" borderId="0" xfId="0" applyNumberFormat="1" applyFont="1" applyFill="1" applyAlignment="1" applyProtection="1">
      <alignment horizontal="center"/>
    </xf>
    <xf numFmtId="0" fontId="14" fillId="0" borderId="0" xfId="0" applyFont="1" applyFill="1" applyAlignment="1">
      <alignment horizontal="center"/>
    </xf>
    <xf numFmtId="2" fontId="16" fillId="0" borderId="0" xfId="0" applyNumberFormat="1" applyFont="1" applyFill="1" applyAlignment="1" applyProtection="1">
      <alignment horizontal="center"/>
    </xf>
    <xf numFmtId="165" fontId="16" fillId="0" borderId="0" xfId="0" applyNumberFormat="1" applyFont="1" applyFill="1" applyAlignment="1" applyProtection="1">
      <alignment horizontal="center"/>
    </xf>
    <xf numFmtId="1" fontId="16" fillId="0" borderId="0" xfId="0" applyNumberFormat="1" applyFont="1" applyFill="1" applyAlignment="1" applyProtection="1">
      <alignment horizont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/>
    <xf numFmtId="1" fontId="16" fillId="3" borderId="0" xfId="0" applyNumberFormat="1" applyFont="1" applyFill="1" applyAlignment="1" applyProtection="1">
      <alignment horizontal="center"/>
    </xf>
    <xf numFmtId="164" fontId="16" fillId="0" borderId="0" xfId="0" applyNumberFormat="1" applyFont="1" applyFill="1" applyAlignment="1" applyProtection="1">
      <alignment horizontal="center"/>
    </xf>
    <xf numFmtId="0" fontId="19" fillId="0" borderId="0" xfId="0" applyFont="1" applyFill="1" applyAlignment="1">
      <alignment horizontal="center"/>
    </xf>
    <xf numFmtId="1" fontId="13" fillId="0" borderId="0" xfId="0" applyNumberFormat="1" applyFont="1" applyFill="1" applyAlignment="1" applyProtection="1">
      <alignment horizontal="center"/>
    </xf>
    <xf numFmtId="2" fontId="16" fillId="0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2" fontId="13" fillId="0" borderId="0" xfId="0" applyNumberFormat="1" applyFont="1" applyFill="1" applyAlignment="1">
      <alignment horizontal="center"/>
    </xf>
    <xf numFmtId="1" fontId="22" fillId="0" borderId="0" xfId="0" applyNumberFormat="1" applyFont="1" applyFill="1" applyAlignment="1" applyProtection="1">
      <alignment horizontal="center"/>
    </xf>
    <xf numFmtId="0" fontId="15" fillId="0" borderId="0" xfId="0" quotePrefix="1" applyFont="1" applyAlignment="1"/>
    <xf numFmtId="0" fontId="0" fillId="0" borderId="0" xfId="0" applyAlignment="1"/>
    <xf numFmtId="0" fontId="2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13" fillId="0" borderId="0" xfId="0" applyFont="1" applyBorder="1" applyAlignment="1">
      <alignment horizontal="center"/>
    </xf>
    <xf numFmtId="1" fontId="13" fillId="0" borderId="0" xfId="0" applyNumberFormat="1" applyFont="1" applyBorder="1" applyAlignment="1" applyProtection="1">
      <alignment horizontal="center"/>
    </xf>
    <xf numFmtId="1" fontId="13" fillId="0" borderId="0" xfId="0" applyNumberFormat="1" applyFont="1" applyBorder="1" applyAlignment="1">
      <alignment horizontal="center"/>
    </xf>
    <xf numFmtId="1" fontId="16" fillId="0" borderId="0" xfId="0" applyNumberFormat="1" applyFont="1" applyBorder="1" applyAlignment="1" applyProtection="1">
      <alignment horizontal="center"/>
    </xf>
    <xf numFmtId="2" fontId="13" fillId="0" borderId="0" xfId="0" applyNumberFormat="1" applyFont="1" applyBorder="1" applyAlignment="1">
      <alignment horizontal="center"/>
    </xf>
    <xf numFmtId="2" fontId="16" fillId="0" borderId="0" xfId="0" applyNumberFormat="1" applyFont="1" applyBorder="1" applyAlignment="1" applyProtection="1">
      <alignment horizontal="center"/>
    </xf>
    <xf numFmtId="1" fontId="13" fillId="0" borderId="1" xfId="0" applyNumberFormat="1" applyFont="1" applyBorder="1" applyAlignment="1" applyProtection="1">
      <alignment horizontal="center"/>
    </xf>
    <xf numFmtId="1" fontId="13" fillId="0" borderId="2" xfId="0" applyNumberFormat="1" applyFont="1" applyBorder="1" applyAlignment="1" applyProtection="1">
      <alignment horizontal="center"/>
    </xf>
    <xf numFmtId="2" fontId="16" fillId="0" borderId="3" xfId="0" applyNumberFormat="1" applyFont="1" applyBorder="1" applyAlignment="1" applyProtection="1">
      <alignment horizontal="center"/>
    </xf>
    <xf numFmtId="2" fontId="13" fillId="0" borderId="3" xfId="0" applyNumberFormat="1" applyFont="1" applyBorder="1" applyAlignment="1" applyProtection="1">
      <alignment horizontal="center"/>
    </xf>
    <xf numFmtId="0" fontId="0" fillId="0" borderId="0" xfId="0" applyFill="1" applyAlignment="1"/>
    <xf numFmtId="2" fontId="13" fillId="0" borderId="0" xfId="0" applyNumberFormat="1" applyFont="1" applyBorder="1" applyAlignment="1" applyProtection="1">
      <alignment horizontal="center"/>
    </xf>
    <xf numFmtId="2" fontId="4" fillId="0" borderId="0" xfId="0" applyNumberFormat="1" applyFont="1" applyAlignment="1">
      <alignment horizontal="center" vertical="center"/>
    </xf>
    <xf numFmtId="2" fontId="13" fillId="2" borderId="0" xfId="0" applyNumberFormat="1" applyFont="1" applyFill="1" applyAlignment="1" applyProtection="1">
      <alignment horizontal="center"/>
    </xf>
    <xf numFmtId="1" fontId="13" fillId="2" borderId="0" xfId="0" applyNumberFormat="1" applyFont="1" applyFill="1" applyAlignment="1" applyProtection="1">
      <alignment horizontal="center"/>
    </xf>
    <xf numFmtId="0" fontId="13" fillId="2" borderId="0" xfId="0" applyFont="1" applyFill="1" applyAlignment="1">
      <alignment horizontal="center"/>
    </xf>
    <xf numFmtId="2" fontId="13" fillId="2" borderId="0" xfId="0" applyNumberFormat="1" applyFont="1" applyFill="1" applyAlignment="1">
      <alignment horizontal="center"/>
    </xf>
    <xf numFmtId="1" fontId="0" fillId="0" borderId="0" xfId="0" applyNumberFormat="1" applyAlignment="1">
      <alignment horizontal="center" vertical="center"/>
    </xf>
    <xf numFmtId="0" fontId="24" fillId="0" borderId="0" xfId="0" applyFont="1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25" fillId="0" borderId="0" xfId="0" applyFont="1" applyAlignment="1"/>
    <xf numFmtId="0" fontId="24" fillId="0" borderId="0" xfId="0" applyFont="1" applyAlignment="1">
      <alignment horizontal="center" vertical="center"/>
    </xf>
    <xf numFmtId="0" fontId="15" fillId="0" borderId="0" xfId="0" applyFont="1" applyAlignment="1"/>
    <xf numFmtId="0" fontId="14" fillId="0" borderId="0" xfId="0" applyFont="1" applyAlignment="1"/>
    <xf numFmtId="1" fontId="24" fillId="0" borderId="0" xfId="0" applyNumberFormat="1" applyFont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2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2" fontId="13" fillId="0" borderId="0" xfId="0" applyNumberFormat="1" applyFont="1" applyFill="1" applyAlignment="1" applyProtection="1">
      <alignment horizontal="left"/>
    </xf>
    <xf numFmtId="2" fontId="13" fillId="0" borderId="0" xfId="0" applyNumberFormat="1" applyFont="1" applyFill="1" applyAlignment="1">
      <alignment horizontal="left"/>
    </xf>
    <xf numFmtId="165" fontId="4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2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65" fontId="26" fillId="0" borderId="0" xfId="0" applyNumberFormat="1" applyFont="1" applyAlignment="1">
      <alignment horizontal="center"/>
    </xf>
    <xf numFmtId="165" fontId="26" fillId="0" borderId="0" xfId="0" applyNumberFormat="1" applyFont="1" applyAlignment="1">
      <alignment horizontal="center" vertical="center" wrapText="1"/>
    </xf>
    <xf numFmtId="165" fontId="0" fillId="0" borderId="0" xfId="0" applyNumberFormat="1" applyAlignment="1"/>
    <xf numFmtId="165" fontId="14" fillId="0" borderId="0" xfId="0" applyNumberFormat="1" applyFont="1" applyAlignment="1">
      <alignment horizontal="center"/>
    </xf>
    <xf numFmtId="165" fontId="22" fillId="0" borderId="0" xfId="0" applyNumberFormat="1" applyFont="1" applyAlignment="1"/>
    <xf numFmtId="165" fontId="23" fillId="0" borderId="0" xfId="0" applyNumberFormat="1" applyFont="1" applyAlignment="1"/>
    <xf numFmtId="165" fontId="4" fillId="0" borderId="0" xfId="0" applyNumberFormat="1" applyFont="1" applyAlignment="1"/>
    <xf numFmtId="0" fontId="29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3" fillId="0" borderId="0" xfId="0" applyFont="1" applyAlignment="1">
      <alignment horizontal="right"/>
    </xf>
    <xf numFmtId="165" fontId="23" fillId="0" borderId="0" xfId="0" applyNumberFormat="1" applyFont="1" applyAlignment="1">
      <alignment horizontal="center" vertical="center"/>
    </xf>
    <xf numFmtId="165" fontId="31" fillId="0" borderId="0" xfId="0" applyNumberFormat="1" applyFont="1" applyAlignment="1">
      <alignment horizontal="center" vertical="center"/>
    </xf>
    <xf numFmtId="165" fontId="32" fillId="0" borderId="0" xfId="0" applyNumberFormat="1" applyFont="1" applyAlignment="1">
      <alignment horizontal="center" vertical="center"/>
    </xf>
    <xf numFmtId="0" fontId="31" fillId="0" borderId="0" xfId="0" applyFont="1" applyAlignment="1">
      <alignment horizontal="center"/>
    </xf>
    <xf numFmtId="165" fontId="33" fillId="0" borderId="0" xfId="0" applyNumberFormat="1" applyFont="1" applyAlignment="1">
      <alignment horizontal="center" vertical="center"/>
    </xf>
    <xf numFmtId="165" fontId="34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center"/>
    </xf>
    <xf numFmtId="165" fontId="22" fillId="0" borderId="0" xfId="0" applyNumberFormat="1" applyFont="1" applyAlignment="1">
      <alignment horizontal="center"/>
    </xf>
    <xf numFmtId="0" fontId="29" fillId="0" borderId="0" xfId="0" applyFont="1" applyBorder="1" applyAlignment="1">
      <alignment vertical="center" wrapText="1"/>
    </xf>
    <xf numFmtId="0" fontId="35" fillId="0" borderId="0" xfId="0" applyFont="1" applyBorder="1" applyAlignment="1">
      <alignment horizontal="left" vertical="center" wrapText="1"/>
    </xf>
    <xf numFmtId="0" fontId="29" fillId="0" borderId="0" xfId="0" applyFont="1" applyFill="1" applyBorder="1" applyAlignment="1">
      <alignment vertical="center" wrapText="1"/>
    </xf>
    <xf numFmtId="1" fontId="31" fillId="0" borderId="0" xfId="0" applyNumberFormat="1" applyFont="1" applyAlignment="1">
      <alignment horizontal="center" vertical="center"/>
    </xf>
    <xf numFmtId="165" fontId="15" fillId="0" borderId="0" xfId="0" applyNumberFormat="1" applyFont="1" applyAlignment="1"/>
    <xf numFmtId="1" fontId="0" fillId="0" borderId="0" xfId="0" applyNumberFormat="1" applyAlignment="1"/>
    <xf numFmtId="1" fontId="23" fillId="0" borderId="0" xfId="0" applyNumberFormat="1" applyFont="1" applyAlignment="1">
      <alignment horizontal="center"/>
    </xf>
    <xf numFmtId="0" fontId="0" fillId="0" borderId="0" xfId="0" applyAlignment="1"/>
    <xf numFmtId="165" fontId="29" fillId="0" borderId="0" xfId="0" applyNumberFormat="1" applyFont="1" applyAlignment="1">
      <alignment horizontal="center" vertical="center"/>
    </xf>
    <xf numFmtId="1" fontId="29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7" fillId="0" borderId="0" xfId="1" applyFont="1" applyBorder="1" applyAlignment="1">
      <alignment horizontal="center" vertical="center"/>
    </xf>
    <xf numFmtId="0" fontId="29" fillId="0" borderId="0" xfId="0" quotePrefix="1" applyFont="1" applyBorder="1" applyAlignment="1">
      <alignment horizontal="justify" vertical="center" wrapText="1"/>
    </xf>
    <xf numFmtId="0" fontId="29" fillId="0" borderId="0" xfId="0" applyFont="1" applyBorder="1" applyAlignment="1">
      <alignment horizontal="center" vertical="center" wrapText="1"/>
    </xf>
    <xf numFmtId="165" fontId="29" fillId="0" borderId="0" xfId="0" applyNumberFormat="1" applyFont="1" applyBorder="1" applyAlignment="1">
      <alignment horizontal="center"/>
    </xf>
    <xf numFmtId="0" fontId="38" fillId="0" borderId="0" xfId="0" applyFont="1" applyBorder="1" applyAlignment="1">
      <alignment horizontal="center" vertical="center" wrapText="1"/>
    </xf>
    <xf numFmtId="16" fontId="29" fillId="0" borderId="0" xfId="0" applyNumberFormat="1" applyFont="1" applyBorder="1" applyAlignment="1">
      <alignment horizontal="center" vertical="center" wrapText="1"/>
    </xf>
    <xf numFmtId="0" fontId="38" fillId="0" borderId="0" xfId="0" applyFont="1" applyBorder="1" applyAlignment="1">
      <alignment horizontal="justify" vertical="center" wrapText="1"/>
    </xf>
    <xf numFmtId="0" fontId="38" fillId="2" borderId="0" xfId="0" applyFont="1" applyFill="1" applyBorder="1" applyAlignment="1">
      <alignment horizontal="justify" vertical="center" wrapText="1"/>
    </xf>
    <xf numFmtId="16" fontId="29" fillId="2" borderId="0" xfId="0" quotePrefix="1" applyNumberFormat="1" applyFont="1" applyFill="1" applyBorder="1" applyAlignment="1">
      <alignment horizontal="center" vertical="center" wrapText="1"/>
    </xf>
    <xf numFmtId="165" fontId="29" fillId="2" borderId="0" xfId="0" applyNumberFormat="1" applyFont="1" applyFill="1" applyBorder="1" applyAlignment="1">
      <alignment horizontal="center"/>
    </xf>
    <xf numFmtId="0" fontId="38" fillId="2" borderId="0" xfId="0" applyFont="1" applyFill="1" applyBorder="1" applyAlignment="1">
      <alignment horizontal="center" vertical="center" wrapText="1"/>
    </xf>
    <xf numFmtId="0" fontId="29" fillId="0" borderId="0" xfId="0" applyFont="1" applyBorder="1"/>
    <xf numFmtId="16" fontId="29" fillId="0" borderId="0" xfId="0" quotePrefix="1" applyNumberFormat="1" applyFont="1" applyBorder="1" applyAlignment="1">
      <alignment horizontal="center" vertical="center" wrapText="1"/>
    </xf>
    <xf numFmtId="17" fontId="38" fillId="0" borderId="0" xfId="0" quotePrefix="1" applyNumberFormat="1" applyFont="1" applyBorder="1" applyAlignment="1">
      <alignment horizontal="center" vertical="center" wrapText="1"/>
    </xf>
    <xf numFmtId="16" fontId="29" fillId="2" borderId="0" xfId="0" applyNumberFormat="1" applyFont="1" applyFill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165" fontId="35" fillId="0" borderId="0" xfId="0" applyNumberFormat="1" applyFont="1" applyBorder="1" applyAlignment="1">
      <alignment horizontal="center" vertical="center" wrapText="1"/>
    </xf>
    <xf numFmtId="16" fontId="40" fillId="0" borderId="0" xfId="0" quotePrefix="1" applyNumberFormat="1" applyFont="1" applyBorder="1" applyAlignment="1">
      <alignment horizontal="center" vertical="center" wrapText="1"/>
    </xf>
    <xf numFmtId="165" fontId="40" fillId="0" borderId="0" xfId="0" applyNumberFormat="1" applyFont="1" applyBorder="1" applyAlignment="1">
      <alignment horizontal="center"/>
    </xf>
    <xf numFmtId="0" fontId="40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/>
    <xf numFmtId="1" fontId="14" fillId="0" borderId="0" xfId="0" applyNumberFormat="1" applyFont="1" applyAlignment="1">
      <alignment horizontal="center" vertical="center"/>
    </xf>
    <xf numFmtId="0" fontId="35" fillId="0" borderId="0" xfId="0" applyFont="1" applyBorder="1" applyAlignment="1">
      <alignment horizontal="left" vertical="center" wrapText="1"/>
    </xf>
    <xf numFmtId="165" fontId="38" fillId="0" borderId="0" xfId="0" applyNumberFormat="1" applyFont="1" applyBorder="1" applyAlignment="1">
      <alignment horizontal="center" vertical="center"/>
    </xf>
    <xf numFmtId="0" fontId="27" fillId="0" borderId="0" xfId="0" applyFont="1" applyAlignment="1"/>
    <xf numFmtId="0" fontId="27" fillId="0" borderId="0" xfId="0" applyFont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1" fontId="13" fillId="2" borderId="0" xfId="0" applyNumberFormat="1" applyFont="1" applyFill="1" applyAlignment="1" applyProtection="1">
      <alignment horizontal="center"/>
    </xf>
    <xf numFmtId="0" fontId="0" fillId="0" borderId="0" xfId="0" applyAlignment="1"/>
    <xf numFmtId="0" fontId="41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42" fillId="0" borderId="0" xfId="0" applyFont="1" applyAlignment="1">
      <alignment horizontal="right" vertical="center"/>
    </xf>
    <xf numFmtId="1" fontId="0" fillId="0" borderId="0" xfId="0" applyNumberFormat="1" applyAlignment="1">
      <alignment horizontal="left" vertical="center"/>
    </xf>
    <xf numFmtId="1" fontId="29" fillId="0" borderId="0" xfId="0" applyNumberFormat="1" applyFont="1" applyFill="1" applyAlignment="1">
      <alignment horizontal="left" vertical="center" wrapText="1"/>
    </xf>
    <xf numFmtId="1" fontId="29" fillId="0" borderId="0" xfId="0" applyNumberFormat="1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165" fontId="43" fillId="0" borderId="0" xfId="2" applyNumberFormat="1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1" fontId="41" fillId="0" borderId="0" xfId="0" applyNumberFormat="1" applyFont="1" applyAlignment="1">
      <alignment vertical="center"/>
    </xf>
    <xf numFmtId="1" fontId="41" fillId="0" borderId="0" xfId="0" applyNumberFormat="1" applyFont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2" fontId="2" fillId="0" borderId="0" xfId="0" applyNumberFormat="1" applyFont="1" applyAlignment="1">
      <alignment horizontal="center" vertical="center"/>
    </xf>
    <xf numFmtId="0" fontId="29" fillId="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4" fillId="2" borderId="0" xfId="0" applyFont="1" applyFill="1" applyAlignment="1">
      <alignment horizontal="center"/>
    </xf>
    <xf numFmtId="1" fontId="14" fillId="0" borderId="0" xfId="0" applyNumberFormat="1" applyFont="1" applyAlignment="1">
      <alignment horizontal="left" vertical="center"/>
    </xf>
    <xf numFmtId="2" fontId="14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4" fillId="0" borderId="0" xfId="1" applyFont="1" applyBorder="1" applyAlignment="1">
      <alignment horizontal="center" vertical="center"/>
    </xf>
    <xf numFmtId="1" fontId="22" fillId="0" borderId="0" xfId="0" applyNumberFormat="1" applyFont="1" applyAlignment="1">
      <alignment horizontal="center" vertical="center" wrapText="1"/>
    </xf>
    <xf numFmtId="1" fontId="22" fillId="0" borderId="0" xfId="0" applyNumberFormat="1" applyFont="1" applyAlignment="1">
      <alignment horizontal="right" vertical="center"/>
    </xf>
    <xf numFmtId="1" fontId="29" fillId="2" borderId="0" xfId="0" applyNumberFormat="1" applyFont="1" applyFill="1" applyBorder="1" applyAlignment="1">
      <alignment horizontal="center" vertical="center"/>
    </xf>
    <xf numFmtId="1" fontId="0" fillId="2" borderId="0" xfId="0" applyNumberFormat="1" applyFont="1" applyFill="1" applyAlignment="1">
      <alignment horizontal="center" vertical="center"/>
    </xf>
    <xf numFmtId="1" fontId="29" fillId="2" borderId="0" xfId="0" applyNumberFormat="1" applyFont="1" applyFill="1" applyAlignment="1">
      <alignment horizontal="center" vertical="center"/>
    </xf>
    <xf numFmtId="0" fontId="45" fillId="0" borderId="0" xfId="0" applyFont="1" applyAlignment="1">
      <alignment wrapText="1"/>
    </xf>
    <xf numFmtId="0" fontId="45" fillId="0" borderId="5" xfId="0" applyFont="1" applyBorder="1" applyAlignment="1">
      <alignment wrapText="1"/>
    </xf>
    <xf numFmtId="0" fontId="46" fillId="0" borderId="0" xfId="0" applyFont="1" applyAlignment="1">
      <alignment wrapText="1"/>
    </xf>
    <xf numFmtId="0" fontId="47" fillId="0" borderId="0" xfId="0" applyFont="1"/>
    <xf numFmtId="165" fontId="13" fillId="0" borderId="10" xfId="0" applyNumberFormat="1" applyFont="1" applyBorder="1" applyAlignment="1">
      <alignment horizontal="center" vertical="center" wrapText="1"/>
    </xf>
    <xf numFmtId="2" fontId="13" fillId="0" borderId="10" xfId="0" applyNumberFormat="1" applyFont="1" applyBorder="1" applyAlignment="1">
      <alignment horizontal="center" vertical="center" wrapText="1"/>
    </xf>
    <xf numFmtId="1" fontId="13" fillId="0" borderId="10" xfId="0" applyNumberFormat="1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2" fontId="13" fillId="0" borderId="14" xfId="0" applyNumberFormat="1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165" fontId="13" fillId="0" borderId="16" xfId="0" applyNumberFormat="1" applyFont="1" applyBorder="1" applyAlignment="1">
      <alignment horizontal="center" vertical="center" wrapText="1"/>
    </xf>
    <xf numFmtId="1" fontId="13" fillId="0" borderId="14" xfId="0" applyNumberFormat="1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wrapText="1"/>
    </xf>
    <xf numFmtId="0" fontId="16" fillId="0" borderId="18" xfId="0" applyFont="1" applyBorder="1" applyAlignment="1">
      <alignment horizontal="center" vertical="center" wrapText="1"/>
    </xf>
    <xf numFmtId="2" fontId="16" fillId="0" borderId="18" xfId="0" applyNumberFormat="1" applyFont="1" applyBorder="1" applyAlignment="1">
      <alignment horizontal="center" vertical="center" wrapText="1"/>
    </xf>
    <xf numFmtId="165" fontId="16" fillId="0" borderId="18" xfId="0" applyNumberFormat="1" applyFont="1" applyBorder="1" applyAlignment="1">
      <alignment horizontal="center" vertical="center" wrapText="1"/>
    </xf>
    <xf numFmtId="1" fontId="16" fillId="0" borderId="18" xfId="0" applyNumberFormat="1" applyFont="1" applyBorder="1" applyAlignment="1">
      <alignment horizontal="center" vertical="center" wrapText="1"/>
    </xf>
    <xf numFmtId="1" fontId="13" fillId="0" borderId="18" xfId="0" applyNumberFormat="1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wrapText="1"/>
    </xf>
    <xf numFmtId="0" fontId="16" fillId="0" borderId="20" xfId="0" applyFont="1" applyBorder="1" applyAlignment="1">
      <alignment horizontal="center" wrapText="1"/>
    </xf>
    <xf numFmtId="2" fontId="16" fillId="0" borderId="20" xfId="0" applyNumberFormat="1" applyFont="1" applyBorder="1" applyAlignment="1">
      <alignment horizontal="center" wrapText="1"/>
    </xf>
    <xf numFmtId="165" fontId="16" fillId="0" borderId="20" xfId="0" applyNumberFormat="1" applyFont="1" applyBorder="1" applyAlignment="1">
      <alignment horizontal="center" wrapText="1"/>
    </xf>
    <xf numFmtId="1" fontId="16" fillId="0" borderId="20" xfId="0" applyNumberFormat="1" applyFont="1" applyBorder="1" applyAlignment="1">
      <alignment horizontal="center" wrapText="1"/>
    </xf>
    <xf numFmtId="1" fontId="13" fillId="0" borderId="20" xfId="0" applyNumberFormat="1" applyFont="1" applyBorder="1" applyAlignment="1">
      <alignment horizontal="center" wrapText="1"/>
    </xf>
    <xf numFmtId="0" fontId="16" fillId="0" borderId="19" xfId="0" applyFont="1" applyBorder="1" applyAlignment="1">
      <alignment horizontal="left" wrapText="1"/>
    </xf>
    <xf numFmtId="0" fontId="13" fillId="0" borderId="19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2" fontId="16" fillId="0" borderId="0" xfId="0" applyNumberFormat="1" applyFont="1" applyAlignment="1">
      <alignment horizontal="center" wrapText="1"/>
    </xf>
    <xf numFmtId="0" fontId="16" fillId="0" borderId="0" xfId="0" applyFont="1" applyBorder="1" applyAlignment="1">
      <alignment horizontal="left" wrapText="1"/>
    </xf>
    <xf numFmtId="0" fontId="16" fillId="0" borderId="21" xfId="0" applyFont="1" applyBorder="1" applyAlignment="1">
      <alignment horizontal="center" wrapText="1"/>
    </xf>
    <xf numFmtId="0" fontId="13" fillId="0" borderId="20" xfId="0" applyFont="1" applyBorder="1" applyAlignment="1">
      <alignment horizontal="center" wrapText="1"/>
    </xf>
    <xf numFmtId="2" fontId="13" fillId="0" borderId="20" xfId="0" applyNumberFormat="1" applyFont="1" applyBorder="1" applyAlignment="1">
      <alignment horizontal="center" wrapText="1"/>
    </xf>
    <xf numFmtId="165" fontId="13" fillId="0" borderId="20" xfId="0" applyNumberFormat="1" applyFont="1" applyBorder="1" applyAlignment="1">
      <alignment horizontal="center" wrapText="1"/>
    </xf>
    <xf numFmtId="2" fontId="16" fillId="0" borderId="0" xfId="0" applyNumberFormat="1" applyFont="1" applyBorder="1" applyAlignment="1">
      <alignment horizontal="center" wrapText="1"/>
    </xf>
    <xf numFmtId="165" fontId="16" fillId="0" borderId="0" xfId="0" applyNumberFormat="1" applyFont="1" applyBorder="1" applyAlignment="1">
      <alignment horizontal="center" wrapText="1"/>
    </xf>
    <xf numFmtId="1" fontId="16" fillId="0" borderId="0" xfId="0" applyNumberFormat="1" applyFont="1" applyBorder="1" applyAlignment="1">
      <alignment horizontal="center" wrapText="1"/>
    </xf>
    <xf numFmtId="1" fontId="13" fillId="0" borderId="0" xfId="0" applyNumberFormat="1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16" fillId="0" borderId="22" xfId="0" applyFont="1" applyBorder="1" applyAlignment="1">
      <alignment horizontal="center" wrapText="1"/>
    </xf>
    <xf numFmtId="0" fontId="16" fillId="0" borderId="23" xfId="0" applyFont="1" applyBorder="1" applyAlignment="1">
      <alignment horizontal="center" wrapText="1"/>
    </xf>
    <xf numFmtId="2" fontId="16" fillId="0" borderId="23" xfId="0" applyNumberFormat="1" applyFont="1" applyBorder="1" applyAlignment="1">
      <alignment horizontal="center" wrapText="1"/>
    </xf>
    <xf numFmtId="165" fontId="16" fillId="0" borderId="23" xfId="0" applyNumberFormat="1" applyFont="1" applyBorder="1" applyAlignment="1">
      <alignment horizontal="center" wrapText="1"/>
    </xf>
    <xf numFmtId="1" fontId="16" fillId="0" borderId="23" xfId="0" applyNumberFormat="1" applyFont="1" applyBorder="1" applyAlignment="1">
      <alignment horizontal="center" wrapText="1"/>
    </xf>
    <xf numFmtId="1" fontId="13" fillId="0" borderId="23" xfId="0" applyNumberFormat="1" applyFont="1" applyBorder="1" applyAlignment="1">
      <alignment horizontal="center" wrapText="1"/>
    </xf>
    <xf numFmtId="0" fontId="16" fillId="0" borderId="24" xfId="0" applyFont="1" applyBorder="1" applyAlignment="1">
      <alignment horizontal="center" wrapText="1"/>
    </xf>
    <xf numFmtId="165" fontId="16" fillId="0" borderId="0" xfId="0" applyNumberFormat="1" applyFont="1" applyAlignment="1">
      <alignment horizontal="center" wrapText="1"/>
    </xf>
    <xf numFmtId="1" fontId="16" fillId="0" borderId="0" xfId="0" applyNumberFormat="1" applyFont="1" applyAlignment="1">
      <alignment horizontal="center" wrapText="1"/>
    </xf>
    <xf numFmtId="1" fontId="13" fillId="0" borderId="0" xfId="0" applyNumberFormat="1" applyFont="1" applyAlignment="1">
      <alignment horizontal="center" wrapText="1"/>
    </xf>
    <xf numFmtId="1" fontId="13" fillId="0" borderId="0" xfId="0" applyNumberFormat="1" applyFont="1" applyFill="1" applyBorder="1" applyAlignment="1">
      <alignment horizontal="center" wrapText="1"/>
    </xf>
    <xf numFmtId="0" fontId="14" fillId="0" borderId="0" xfId="0" applyFont="1" applyAlignment="1">
      <alignment horizontal="justify" vertical="center"/>
    </xf>
    <xf numFmtId="0" fontId="14" fillId="0" borderId="25" xfId="0" applyFont="1" applyBorder="1" applyAlignment="1">
      <alignment horizontal="center" vertical="center" wrapText="1"/>
    </xf>
    <xf numFmtId="0" fontId="29" fillId="0" borderId="0" xfId="0" applyFont="1" applyAlignment="1">
      <alignment horizontal="justify" vertical="center" wrapText="1"/>
    </xf>
    <xf numFmtId="0" fontId="29" fillId="0" borderId="26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25" xfId="0" applyFont="1" applyBorder="1" applyAlignment="1">
      <alignment horizontal="justify" vertical="center" wrapText="1"/>
    </xf>
    <xf numFmtId="0" fontId="29" fillId="0" borderId="25" xfId="0" applyFont="1" applyBorder="1" applyAlignment="1">
      <alignment horizontal="center" vertical="center" wrapText="1"/>
    </xf>
    <xf numFmtId="0" fontId="29" fillId="0" borderId="26" xfId="0" applyFont="1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0" xfId="0" applyAlignment="1">
      <alignment vertical="center"/>
    </xf>
    <xf numFmtId="1" fontId="22" fillId="0" borderId="0" xfId="0" applyNumberFormat="1" applyFont="1" applyFill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36" fillId="0" borderId="0" xfId="1" applyAlignment="1">
      <alignment horizontal="center" vertical="center"/>
    </xf>
    <xf numFmtId="0" fontId="36" fillId="0" borderId="0" xfId="1" applyFill="1" applyAlignment="1">
      <alignment horizontal="center" vertical="center"/>
    </xf>
    <xf numFmtId="1" fontId="36" fillId="0" borderId="0" xfId="1" applyNumberFormat="1" applyFill="1" applyAlignment="1">
      <alignment horizontal="center"/>
    </xf>
    <xf numFmtId="1" fontId="36" fillId="0" borderId="0" xfId="1" applyNumberFormat="1" applyAlignment="1">
      <alignment horizontal="center"/>
    </xf>
    <xf numFmtId="0" fontId="36" fillId="0" borderId="0" xfId="1" applyAlignment="1">
      <alignment horizontal="center"/>
    </xf>
    <xf numFmtId="1" fontId="22" fillId="0" borderId="0" xfId="0" applyNumberFormat="1" applyFont="1" applyAlignment="1">
      <alignment horizontal="right" vertical="center" wrapText="1"/>
    </xf>
    <xf numFmtId="1" fontId="22" fillId="0" borderId="0" xfId="0" applyNumberFormat="1" applyFont="1" applyAlignment="1">
      <alignment horizontal="center" vertical="center"/>
    </xf>
    <xf numFmtId="2" fontId="13" fillId="0" borderId="0" xfId="0" applyNumberFormat="1" applyFont="1" applyFill="1" applyAlignment="1" applyProtection="1">
      <alignment horizontal="center" vertical="center"/>
    </xf>
    <xf numFmtId="2" fontId="13" fillId="0" borderId="0" xfId="0" applyNumberFormat="1" applyFont="1" applyFill="1" applyAlignment="1">
      <alignment horizontal="left" vertical="center"/>
    </xf>
    <xf numFmtId="0" fontId="22" fillId="0" borderId="0" xfId="0" applyFont="1" applyAlignment="1">
      <alignment horizontal="right"/>
    </xf>
    <xf numFmtId="0" fontId="22" fillId="0" borderId="0" xfId="0" applyFont="1" applyAlignment="1">
      <alignment horizontal="right" vertical="center"/>
    </xf>
    <xf numFmtId="2" fontId="22" fillId="0" borderId="0" xfId="0" applyNumberFormat="1" applyFont="1" applyFill="1" applyAlignment="1" applyProtection="1">
      <alignment horizontal="left" vertical="center"/>
    </xf>
    <xf numFmtId="0" fontId="4" fillId="0" borderId="0" xfId="0" applyFont="1" applyAlignment="1">
      <alignment vertical="center"/>
    </xf>
    <xf numFmtId="1" fontId="29" fillId="0" borderId="0" xfId="0" applyNumberFormat="1" applyFont="1" applyFill="1" applyAlignment="1">
      <alignment horizontal="center"/>
    </xf>
    <xf numFmtId="0" fontId="29" fillId="0" borderId="0" xfId="0" applyFont="1" applyFill="1" applyAlignment="1">
      <alignment horizontal="center"/>
    </xf>
    <xf numFmtId="0" fontId="29" fillId="0" borderId="0" xfId="0" applyFont="1" applyAlignment="1"/>
    <xf numFmtId="1" fontId="29" fillId="0" borderId="0" xfId="0" applyNumberFormat="1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2" fontId="29" fillId="0" borderId="0" xfId="0" applyNumberFormat="1" applyFont="1" applyFill="1" applyAlignment="1" applyProtection="1">
      <alignment horizontal="center" vertical="center"/>
    </xf>
    <xf numFmtId="0" fontId="29" fillId="0" borderId="0" xfId="0" applyFont="1" applyAlignment="1">
      <alignment vertical="center"/>
    </xf>
    <xf numFmtId="2" fontId="22" fillId="0" borderId="0" xfId="0" applyNumberFormat="1" applyFont="1" applyFill="1" applyAlignment="1">
      <alignment horizontal="left"/>
    </xf>
    <xf numFmtId="0" fontId="49" fillId="0" borderId="0" xfId="0" applyFont="1" applyAlignment="1">
      <alignment vertical="center"/>
    </xf>
    <xf numFmtId="0" fontId="4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4" fillId="0" borderId="0" xfId="0" applyFont="1" applyAlignment="1"/>
    <xf numFmtId="0" fontId="24" fillId="0" borderId="0" xfId="0" applyFont="1" applyAlignment="1">
      <alignment vertical="center" wrapText="1"/>
    </xf>
    <xf numFmtId="1" fontId="13" fillId="2" borderId="0" xfId="0" applyNumberFormat="1" applyFont="1" applyFill="1" applyAlignment="1" applyProtection="1">
      <alignment horizontal="center"/>
    </xf>
    <xf numFmtId="0" fontId="14" fillId="2" borderId="0" xfId="0" applyFont="1" applyFill="1" applyAlignment="1">
      <alignment horizontal="center"/>
    </xf>
    <xf numFmtId="2" fontId="20" fillId="0" borderId="0" xfId="0" applyNumberFormat="1" applyFont="1" applyFill="1" applyAlignment="1">
      <alignment horizontal="center" vertical="center" wrapText="1"/>
    </xf>
    <xf numFmtId="2" fontId="21" fillId="0" borderId="0" xfId="0" applyNumberFormat="1" applyFont="1" applyAlignment="1">
      <alignment horizontal="center" vertical="center" wrapText="1"/>
    </xf>
    <xf numFmtId="1" fontId="16" fillId="0" borderId="0" xfId="0" applyNumberFormat="1" applyFont="1" applyFill="1" applyAlignment="1">
      <alignment horizontal="center" vertical="center" wrapText="1"/>
    </xf>
    <xf numFmtId="2" fontId="22" fillId="0" borderId="0" xfId="0" applyNumberFormat="1" applyFont="1" applyFill="1" applyAlignment="1" applyProtection="1">
      <alignment horizontal="right" vertical="center"/>
    </xf>
    <xf numFmtId="0" fontId="29" fillId="0" borderId="0" xfId="0" applyFont="1" applyAlignment="1">
      <alignment horizontal="right" vertical="center"/>
    </xf>
    <xf numFmtId="1" fontId="22" fillId="0" borderId="0" xfId="0" applyNumberFormat="1" applyFont="1" applyFill="1" applyAlignment="1" applyProtection="1">
      <alignment horizontal="center" vertical="center"/>
    </xf>
    <xf numFmtId="165" fontId="22" fillId="0" borderId="0" xfId="0" applyNumberFormat="1" applyFont="1" applyFill="1" applyAlignment="1" applyProtection="1">
      <alignment horizontal="center" vertical="center" wrapText="1"/>
    </xf>
    <xf numFmtId="0" fontId="22" fillId="0" borderId="0" xfId="0" applyFont="1" applyAlignment="1">
      <alignment horizontal="center" vertical="center"/>
    </xf>
    <xf numFmtId="1" fontId="22" fillId="0" borderId="0" xfId="0" applyNumberFormat="1" applyFont="1" applyFill="1" applyAlignment="1" applyProtection="1">
      <alignment horizontal="center"/>
    </xf>
    <xf numFmtId="0" fontId="22" fillId="0" borderId="0" xfId="0" applyFont="1" applyAlignment="1">
      <alignment horizontal="center"/>
    </xf>
    <xf numFmtId="165" fontId="22" fillId="0" borderId="0" xfId="0" applyNumberFormat="1" applyFont="1" applyFill="1" applyAlignment="1" applyProtection="1">
      <alignment horizontal="center" wrapText="1"/>
    </xf>
    <xf numFmtId="0" fontId="29" fillId="0" borderId="0" xfId="0" applyFont="1" applyAlignment="1">
      <alignment horizontal="center" wrapText="1"/>
    </xf>
    <xf numFmtId="1" fontId="13" fillId="0" borderId="0" xfId="0" applyNumberFormat="1" applyFont="1" applyFill="1" applyAlignment="1" applyProtection="1">
      <alignment horizontal="center" vertical="center"/>
    </xf>
    <xf numFmtId="0" fontId="0" fillId="0" borderId="0" xfId="0" applyAlignment="1">
      <alignment horizontal="center" wrapText="1"/>
    </xf>
    <xf numFmtId="165" fontId="13" fillId="0" borderId="0" xfId="0" applyNumberFormat="1" applyFont="1" applyFill="1" applyAlignment="1" applyProtection="1">
      <alignment horizontal="center" wrapText="1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1" fontId="13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1" fontId="14" fillId="0" borderId="0" xfId="0" applyNumberFormat="1" applyFont="1" applyBorder="1" applyAlignment="1" applyProtection="1">
      <alignment horizontal="center"/>
    </xf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8" fillId="0" borderId="0" xfId="0" applyFont="1" applyAlignment="1">
      <alignment vertical="center"/>
    </xf>
    <xf numFmtId="0" fontId="4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2" fontId="24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" fontId="26" fillId="0" borderId="0" xfId="0" applyNumberFormat="1" applyFont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0" fontId="42" fillId="0" borderId="0" xfId="0" applyFont="1" applyAlignment="1">
      <alignment horizontal="right" vertical="center" wrapText="1"/>
    </xf>
    <xf numFmtId="0" fontId="41" fillId="0" borderId="0" xfId="0" applyFont="1" applyAlignment="1">
      <alignment horizontal="center" vertical="center"/>
    </xf>
    <xf numFmtId="0" fontId="42" fillId="0" borderId="0" xfId="0" applyFont="1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5" fillId="0" borderId="0" xfId="0" applyFont="1" applyBorder="1" applyAlignment="1">
      <alignment wrapText="1"/>
    </xf>
    <xf numFmtId="0" fontId="29" fillId="0" borderId="0" xfId="0" applyFont="1" applyAlignment="1">
      <alignment wrapText="1"/>
    </xf>
    <xf numFmtId="0" fontId="35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wrapText="1"/>
    </xf>
    <xf numFmtId="0" fontId="35" fillId="0" borderId="0" xfId="0" applyFont="1" applyBorder="1" applyAlignment="1">
      <alignment horizontal="left" vertical="center" wrapText="1"/>
    </xf>
    <xf numFmtId="49" fontId="13" fillId="0" borderId="6" xfId="0" applyNumberFormat="1" applyFont="1" applyBorder="1" applyAlignment="1">
      <alignment horizontal="center" vertical="center" wrapText="1"/>
    </xf>
    <xf numFmtId="49" fontId="13" fillId="0" borderId="12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1" fontId="13" fillId="0" borderId="10" xfId="0" applyNumberFormat="1" applyFont="1" applyBorder="1" applyAlignment="1">
      <alignment horizontal="center" vertical="center" wrapText="1"/>
    </xf>
    <xf numFmtId="1" fontId="13" fillId="0" borderId="11" xfId="0" applyNumberFormat="1" applyFont="1" applyBorder="1" applyAlignment="1">
      <alignment horizontal="center" vertical="center" wrapText="1"/>
    </xf>
    <xf numFmtId="0" fontId="14" fillId="0" borderId="26" xfId="0" applyFont="1" applyBorder="1" applyAlignment="1">
      <alignment horizontal="left" vertical="center"/>
    </xf>
    <xf numFmtId="0" fontId="0" fillId="0" borderId="26" xfId="0" applyBorder="1" applyAlignment="1">
      <alignment vertical="center"/>
    </xf>
  </cellXfs>
  <cellStyles count="3">
    <cellStyle name="Hiperligaçã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Cto (€/ha) vs Área (ha)</a:t>
            </a:r>
          </a:p>
        </c:rich>
      </c:tx>
      <c:layout>
        <c:manualLayout>
          <c:xMode val="edge"/>
          <c:yMode val="edge"/>
          <c:x val="0.41160576838007618"/>
          <c:y val="5.24246323671056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PrePoda!$A$21:$A$30</c:f>
              <c:numCache>
                <c:formatCode>0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  <c:pt idx="8">
                  <c:v>17</c:v>
                </c:pt>
                <c:pt idx="9">
                  <c:v>20</c:v>
                </c:pt>
              </c:numCache>
            </c:numRef>
          </c:xVal>
          <c:yVal>
            <c:numRef>
              <c:f>PrePoda!$J$21:$J$30</c:f>
              <c:numCache>
                <c:formatCode>0.00</c:formatCode>
                <c:ptCount val="10"/>
                <c:pt idx="0">
                  <c:v>298.74883999999997</c:v>
                </c:pt>
                <c:pt idx="1">
                  <c:v>128.34884</c:v>
                </c:pt>
                <c:pt idx="2">
                  <c:v>94.268839999999983</c:v>
                </c:pt>
                <c:pt idx="3">
                  <c:v>79.663125714285712</c:v>
                </c:pt>
                <c:pt idx="4">
                  <c:v>71.548839999999998</c:v>
                </c:pt>
                <c:pt idx="5">
                  <c:v>66.385203636363627</c:v>
                </c:pt>
                <c:pt idx="6">
                  <c:v>62.810378461538463</c:v>
                </c:pt>
                <c:pt idx="7">
                  <c:v>60.188839999999999</c:v>
                </c:pt>
                <c:pt idx="8">
                  <c:v>58.184134117647055</c:v>
                </c:pt>
                <c:pt idx="9">
                  <c:v>55.928839999999994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B0B-4AEE-B3D9-4375E9017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4518640"/>
        <c:axId val="128247992"/>
      </c:scatterChart>
      <c:valAx>
        <c:axId val="364518640"/>
        <c:scaling>
          <c:orientation val="minMax"/>
          <c:max val="20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28247992"/>
        <c:crosses val="autoZero"/>
        <c:crossBetween val="midCat"/>
        <c:majorUnit val="1"/>
      </c:valAx>
      <c:valAx>
        <c:axId val="128247992"/>
        <c:scaling>
          <c:orientation val="minMax"/>
          <c:max val="30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645186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 sz="1200" b="1">
                <a:effectLst/>
              </a:rPr>
              <a:t>Custo (€/h) do trator em função da intensidade de utilização anual</a:t>
            </a:r>
            <a:endParaRPr lang="pt-PT" sz="1200">
              <a:effectLst/>
            </a:endParaRPr>
          </a:p>
        </c:rich>
      </c:tx>
      <c:layout>
        <c:manualLayout>
          <c:xMode val="edge"/>
          <c:yMode val="edge"/>
          <c:x val="0.21098562122876494"/>
          <c:y val="1.6716817118020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Trator53!$A$16:$A$25</c:f>
              <c:numCache>
                <c:formatCode>0</c:formatCode>
                <c:ptCount val="1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</c:numCache>
            </c:numRef>
          </c:xVal>
          <c:yVal>
            <c:numRef>
              <c:f>Trator53!$D$16:$D$25</c:f>
              <c:numCache>
                <c:formatCode>0.00</c:formatCode>
                <c:ptCount val="10"/>
                <c:pt idx="0">
                  <c:v>48.958953333333334</c:v>
                </c:pt>
                <c:pt idx="1">
                  <c:v>32.304503333333329</c:v>
                </c:pt>
                <c:pt idx="2">
                  <c:v>26.753019999999999</c:v>
                </c:pt>
                <c:pt idx="3">
                  <c:v>23.977278333333331</c:v>
                </c:pt>
                <c:pt idx="4">
                  <c:v>22.311833333333333</c:v>
                </c:pt>
                <c:pt idx="5">
                  <c:v>21.201536666666666</c:v>
                </c:pt>
                <c:pt idx="6">
                  <c:v>20.408467619047617</c:v>
                </c:pt>
                <c:pt idx="7">
                  <c:v>19.813665833333332</c:v>
                </c:pt>
                <c:pt idx="8">
                  <c:v>19.351042222222222</c:v>
                </c:pt>
                <c:pt idx="9">
                  <c:v>18.980943333333332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130-4582-9B33-4F05316AF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7182896"/>
        <c:axId val="367181328"/>
      </c:scatterChart>
      <c:valAx>
        <c:axId val="367182896"/>
        <c:scaling>
          <c:orientation val="minMax"/>
          <c:max val="1000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67181328"/>
        <c:crosses val="autoZero"/>
        <c:crossBetween val="midCat"/>
      </c:valAx>
      <c:valAx>
        <c:axId val="367181328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671828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 sz="1200" b="1">
                <a:effectLst/>
              </a:rPr>
              <a:t>Custo (€/h) do trator em função da intensidade de utilização anual</a:t>
            </a:r>
            <a:endParaRPr lang="pt-PT" sz="1200">
              <a:effectLst/>
            </a:endParaRPr>
          </a:p>
        </c:rich>
      </c:tx>
      <c:layout>
        <c:manualLayout>
          <c:xMode val="edge"/>
          <c:yMode val="edge"/>
          <c:x val="0.21098562122876494"/>
          <c:y val="1.6716817118020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Trator60!$A$16:$A$25</c:f>
              <c:numCache>
                <c:formatCode>0</c:formatCode>
                <c:ptCount val="1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</c:numCache>
            </c:numRef>
          </c:xVal>
          <c:yVal>
            <c:numRef>
              <c:f>Trator60!$D$16:$D$25</c:f>
              <c:numCache>
                <c:formatCode>0.00</c:formatCode>
                <c:ptCount val="10"/>
                <c:pt idx="0">
                  <c:v>53.568198333333342</c:v>
                </c:pt>
                <c:pt idx="1">
                  <c:v>34.939160833333332</c:v>
                </c:pt>
                <c:pt idx="2">
                  <c:v>28.729481666666665</c:v>
                </c:pt>
                <c:pt idx="3">
                  <c:v>25.624642083333335</c:v>
                </c:pt>
                <c:pt idx="4">
                  <c:v>23.761738333333334</c:v>
                </c:pt>
                <c:pt idx="5">
                  <c:v>22.519802500000001</c:v>
                </c:pt>
                <c:pt idx="6">
                  <c:v>21.632705476190477</c:v>
                </c:pt>
                <c:pt idx="7">
                  <c:v>20.967382708333332</c:v>
                </c:pt>
                <c:pt idx="8">
                  <c:v>20.449909444444444</c:v>
                </c:pt>
                <c:pt idx="9">
                  <c:v>20.035930833333332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A9D-456C-8941-1FB9D50228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7179760"/>
        <c:axId val="367180544"/>
      </c:scatterChart>
      <c:valAx>
        <c:axId val="367179760"/>
        <c:scaling>
          <c:orientation val="minMax"/>
          <c:max val="1000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67180544"/>
        <c:crosses val="autoZero"/>
        <c:crossBetween val="midCat"/>
      </c:valAx>
      <c:valAx>
        <c:axId val="367180544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67179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Cto (€/ha) vs Área (ha)</a:t>
            </a:r>
          </a:p>
        </c:rich>
      </c:tx>
      <c:layout>
        <c:manualLayout>
          <c:xMode val="edge"/>
          <c:yMode val="edge"/>
          <c:x val="0.41160576838007618"/>
          <c:y val="5.24246323671056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TritSar!$A$21:$A$30</c:f>
              <c:numCache>
                <c:formatCode>0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  <c:pt idx="8">
                  <c:v>17</c:v>
                </c:pt>
                <c:pt idx="9">
                  <c:v>20</c:v>
                </c:pt>
              </c:numCache>
            </c:numRef>
          </c:xVal>
          <c:yVal>
            <c:numRef>
              <c:f>TritSar!$J$21:$J$30</c:f>
              <c:numCache>
                <c:formatCode>0.00</c:formatCode>
                <c:ptCount val="10"/>
                <c:pt idx="0">
                  <c:v>155.55301999999998</c:v>
                </c:pt>
                <c:pt idx="1">
                  <c:v>70.353020000000001</c:v>
                </c:pt>
                <c:pt idx="2">
                  <c:v>53.313019999999995</c:v>
                </c:pt>
                <c:pt idx="3">
                  <c:v>46.010162857142859</c:v>
                </c:pt>
                <c:pt idx="4">
                  <c:v>41.953019999999995</c:v>
                </c:pt>
                <c:pt idx="5">
                  <c:v>39.371201818181817</c:v>
                </c:pt>
                <c:pt idx="6">
                  <c:v>37.583789230769227</c:v>
                </c:pt>
                <c:pt idx="7">
                  <c:v>36.273019999999995</c:v>
                </c:pt>
                <c:pt idx="8">
                  <c:v>35.270667058823527</c:v>
                </c:pt>
                <c:pt idx="9">
                  <c:v>34.14302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255-4AB4-9003-71A4680E4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690864"/>
        <c:axId val="366522448"/>
      </c:scatterChart>
      <c:valAx>
        <c:axId val="182690864"/>
        <c:scaling>
          <c:orientation val="minMax"/>
          <c:max val="20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66522448"/>
        <c:crosses val="autoZero"/>
        <c:crossBetween val="midCat"/>
        <c:majorUnit val="1"/>
      </c:valAx>
      <c:valAx>
        <c:axId val="366522448"/>
        <c:scaling>
          <c:orientation val="minMax"/>
          <c:max val="16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826908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Cto (€/ha) vs Área (ha)</a:t>
            </a:r>
          </a:p>
        </c:rich>
      </c:tx>
      <c:layout>
        <c:manualLayout>
          <c:xMode val="edge"/>
          <c:yMode val="edge"/>
          <c:x val="0.41160576838007618"/>
          <c:y val="5.24246323671056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LocAdubo!$A$21:$A$30</c:f>
              <c:numCache>
                <c:formatCode>0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  <c:pt idx="8">
                  <c:v>17</c:v>
                </c:pt>
                <c:pt idx="9">
                  <c:v>20</c:v>
                </c:pt>
              </c:numCache>
            </c:numRef>
          </c:xVal>
          <c:yVal>
            <c:numRef>
              <c:f>LocAdubo!$J$21:$J$30</c:f>
              <c:numCache>
                <c:formatCode>0.00</c:formatCode>
                <c:ptCount val="10"/>
                <c:pt idx="0">
                  <c:v>116.69884000000002</c:v>
                </c:pt>
                <c:pt idx="1">
                  <c:v>66.998840000000001</c:v>
                </c:pt>
                <c:pt idx="2">
                  <c:v>57.058840000000004</c:v>
                </c:pt>
                <c:pt idx="3">
                  <c:v>52.798839999999998</c:v>
                </c:pt>
                <c:pt idx="4">
                  <c:v>50.432173333333338</c:v>
                </c:pt>
                <c:pt idx="5">
                  <c:v>48.926112727272724</c:v>
                </c:pt>
                <c:pt idx="6">
                  <c:v>47.883455384615388</c:v>
                </c:pt>
                <c:pt idx="7">
                  <c:v>47.118839999999999</c:v>
                </c:pt>
                <c:pt idx="8">
                  <c:v>46.534134117647056</c:v>
                </c:pt>
                <c:pt idx="9">
                  <c:v>45.876339999999999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3CF-44E6-995E-0C89EBCED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6618488"/>
        <c:axId val="366618872"/>
      </c:scatterChart>
      <c:valAx>
        <c:axId val="366618488"/>
        <c:scaling>
          <c:orientation val="minMax"/>
          <c:max val="20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66618872"/>
        <c:crosses val="autoZero"/>
        <c:crossBetween val="midCat"/>
        <c:majorUnit val="1"/>
      </c:valAx>
      <c:valAx>
        <c:axId val="366618872"/>
        <c:scaling>
          <c:orientation val="minMax"/>
          <c:max val="12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666184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Cto (€/ha) vs Área (ha)</a:t>
            </a:r>
          </a:p>
        </c:rich>
      </c:tx>
      <c:layout>
        <c:manualLayout>
          <c:xMode val="edge"/>
          <c:yMode val="edge"/>
          <c:x val="0.41160576838007618"/>
          <c:y val="5.24246323671056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Escar!$A$21:$A$30</c:f>
              <c:numCache>
                <c:formatCode>0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  <c:pt idx="8">
                  <c:v>17</c:v>
                </c:pt>
                <c:pt idx="9">
                  <c:v>20</c:v>
                </c:pt>
              </c:numCache>
            </c:numRef>
          </c:xVal>
          <c:yVal>
            <c:numRef>
              <c:f>Escar!$J$21:$J$30</c:f>
              <c:numCache>
                <c:formatCode>0.00</c:formatCode>
                <c:ptCount val="10"/>
                <c:pt idx="0">
                  <c:v>36.937394999999995</c:v>
                </c:pt>
                <c:pt idx="1">
                  <c:v>30.281144999999999</c:v>
                </c:pt>
                <c:pt idx="2">
                  <c:v>28.949894999999998</c:v>
                </c:pt>
                <c:pt idx="3">
                  <c:v>28.379359285714287</c:v>
                </c:pt>
                <c:pt idx="4">
                  <c:v>28.062394999999999</c:v>
                </c:pt>
                <c:pt idx="5">
                  <c:v>27.860690454545455</c:v>
                </c:pt>
                <c:pt idx="6">
                  <c:v>27.721048846153845</c:v>
                </c:pt>
                <c:pt idx="7">
                  <c:v>27.618645000000001</c:v>
                </c:pt>
                <c:pt idx="8">
                  <c:v>27.540336176470589</c:v>
                </c:pt>
                <c:pt idx="9">
                  <c:v>27.452238749999999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9E8-4597-9F3D-4AD7BCC77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7561632"/>
        <c:axId val="182902512"/>
      </c:scatterChart>
      <c:valAx>
        <c:axId val="367561632"/>
        <c:scaling>
          <c:orientation val="minMax"/>
          <c:max val="20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82902512"/>
        <c:crosses val="autoZero"/>
        <c:crossBetween val="midCat"/>
        <c:majorUnit val="1"/>
      </c:valAx>
      <c:valAx>
        <c:axId val="182902512"/>
        <c:scaling>
          <c:orientation val="minMax"/>
          <c:max val="4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675616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Cto (€/ha) vs Área (ha)</a:t>
            </a:r>
          </a:p>
        </c:rich>
      </c:tx>
      <c:layout>
        <c:manualLayout>
          <c:xMode val="edge"/>
          <c:yMode val="edge"/>
          <c:x val="0.41160576838007618"/>
          <c:y val="5.24246323671056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Pulv!$A$21:$A$30</c:f>
              <c:numCache>
                <c:formatCode>0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  <c:pt idx="8">
                  <c:v>17</c:v>
                </c:pt>
                <c:pt idx="9">
                  <c:v>20</c:v>
                </c:pt>
              </c:numCache>
            </c:numRef>
          </c:xVal>
          <c:yVal>
            <c:numRef>
              <c:f>Pulv!$J$21:$J$30</c:f>
              <c:numCache>
                <c:formatCode>0.00</c:formatCode>
                <c:ptCount val="10"/>
                <c:pt idx="0">
                  <c:v>90.105333333333334</c:v>
                </c:pt>
                <c:pt idx="1">
                  <c:v>47.50533333333334</c:v>
                </c:pt>
                <c:pt idx="2">
                  <c:v>38.985333333333337</c:v>
                </c:pt>
                <c:pt idx="3">
                  <c:v>35.333904761904762</c:v>
                </c:pt>
                <c:pt idx="4">
                  <c:v>33.305333333333337</c:v>
                </c:pt>
                <c:pt idx="5">
                  <c:v>32.014424242424241</c:v>
                </c:pt>
                <c:pt idx="6">
                  <c:v>31.120717948717953</c:v>
                </c:pt>
                <c:pt idx="7">
                  <c:v>30.465333333333334</c:v>
                </c:pt>
                <c:pt idx="8">
                  <c:v>29.964156862745099</c:v>
                </c:pt>
                <c:pt idx="9">
                  <c:v>29.400333333333336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9E8-4597-9F3D-4AD7BCC77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7181720"/>
        <c:axId val="367182504"/>
      </c:scatterChart>
      <c:valAx>
        <c:axId val="367181720"/>
        <c:scaling>
          <c:orientation val="minMax"/>
          <c:max val="20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67182504"/>
        <c:crosses val="autoZero"/>
        <c:crossBetween val="midCat"/>
        <c:majorUnit val="1"/>
      </c:valAx>
      <c:valAx>
        <c:axId val="367182504"/>
        <c:scaling>
          <c:orientation val="minMax"/>
          <c:max val="100"/>
          <c:min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671817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Cto (€/ha) vs Área (ha)</a:t>
            </a:r>
          </a:p>
        </c:rich>
      </c:tx>
      <c:layout>
        <c:manualLayout>
          <c:xMode val="edge"/>
          <c:yMode val="edge"/>
          <c:x val="0.41160576838007618"/>
          <c:y val="5.24246323671056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Despont!$A$21:$A$30</c:f>
              <c:numCache>
                <c:formatCode>0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  <c:pt idx="8">
                  <c:v>17</c:v>
                </c:pt>
                <c:pt idx="9">
                  <c:v>20</c:v>
                </c:pt>
              </c:numCache>
            </c:numRef>
          </c:xVal>
          <c:yVal>
            <c:numRef>
              <c:f>Despont!$J$21:$J$30</c:f>
              <c:numCache>
                <c:formatCode>0.00</c:formatCode>
                <c:ptCount val="10"/>
                <c:pt idx="0">
                  <c:v>104.63301999999999</c:v>
                </c:pt>
                <c:pt idx="1">
                  <c:v>53.513019999999997</c:v>
                </c:pt>
                <c:pt idx="2">
                  <c:v>43.289019999999994</c:v>
                </c:pt>
                <c:pt idx="3">
                  <c:v>38.907305714285712</c:v>
                </c:pt>
                <c:pt idx="4">
                  <c:v>36.473019999999998</c:v>
                </c:pt>
                <c:pt idx="5">
                  <c:v>34.923929090909091</c:v>
                </c:pt>
                <c:pt idx="6">
                  <c:v>33.851481538461535</c:v>
                </c:pt>
                <c:pt idx="7">
                  <c:v>33.065019999999997</c:v>
                </c:pt>
                <c:pt idx="8">
                  <c:v>32.463608235294117</c:v>
                </c:pt>
                <c:pt idx="9">
                  <c:v>31.787019999999998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3DD-4F31-B347-85B100156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7182112"/>
        <c:axId val="367180152"/>
      </c:scatterChart>
      <c:valAx>
        <c:axId val="367182112"/>
        <c:scaling>
          <c:orientation val="minMax"/>
          <c:max val="20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67180152"/>
        <c:crosses val="autoZero"/>
        <c:crossBetween val="midCat"/>
        <c:majorUnit val="1"/>
      </c:valAx>
      <c:valAx>
        <c:axId val="367180152"/>
        <c:scaling>
          <c:orientation val="minMax"/>
          <c:max val="11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671821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Cto (€/ha) vs Área (ha)</a:t>
            </a:r>
          </a:p>
        </c:rich>
      </c:tx>
      <c:layout>
        <c:manualLayout>
          <c:xMode val="edge"/>
          <c:yMode val="edge"/>
          <c:x val="0.41160576838007618"/>
          <c:y val="5.24246323671056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'Reboq3.5'!$A$21:$A$30</c:f>
              <c:numCache>
                <c:formatCode>0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  <c:pt idx="8">
                  <c:v>17</c:v>
                </c:pt>
                <c:pt idx="9">
                  <c:v>20</c:v>
                </c:pt>
              </c:numCache>
            </c:numRef>
          </c:xVal>
          <c:yVal>
            <c:numRef>
              <c:f>'Reboq3.5'!$J$21:$J$30</c:f>
              <c:numCache>
                <c:formatCode>0.00</c:formatCode>
                <c:ptCount val="10"/>
                <c:pt idx="0">
                  <c:v>65.346519999999998</c:v>
                </c:pt>
                <c:pt idx="1">
                  <c:v>40.709519999999998</c:v>
                </c:pt>
                <c:pt idx="2">
                  <c:v>35.782119999999999</c:v>
                </c:pt>
                <c:pt idx="3">
                  <c:v>33.670377142857141</c:v>
                </c:pt>
                <c:pt idx="4">
                  <c:v>32.497186666666664</c:v>
                </c:pt>
                <c:pt idx="5">
                  <c:v>31.750610909090909</c:v>
                </c:pt>
                <c:pt idx="6">
                  <c:v>31.233750769230767</c:v>
                </c:pt>
                <c:pt idx="7">
                  <c:v>30.85472</c:v>
                </c:pt>
                <c:pt idx="8">
                  <c:v>30.564872941176471</c:v>
                </c:pt>
                <c:pt idx="9">
                  <c:v>30.238795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EA8-411D-A3CA-37C87C7C5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7180936"/>
        <c:axId val="367176232"/>
      </c:scatterChart>
      <c:valAx>
        <c:axId val="367180936"/>
        <c:scaling>
          <c:orientation val="minMax"/>
          <c:max val="20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67176232"/>
        <c:crosses val="autoZero"/>
        <c:crossBetween val="midCat"/>
        <c:majorUnit val="1"/>
      </c:valAx>
      <c:valAx>
        <c:axId val="367176232"/>
        <c:scaling>
          <c:orientation val="minMax"/>
          <c:max val="7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671809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Cto (€/ha) vs Área (ha)</a:t>
            </a:r>
          </a:p>
        </c:rich>
      </c:tx>
      <c:layout>
        <c:manualLayout>
          <c:xMode val="edge"/>
          <c:yMode val="edge"/>
          <c:x val="0.41160576838007618"/>
          <c:y val="5.24246323671056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'Reboq3.5'!$A$21:$A$30</c:f>
              <c:numCache>
                <c:formatCode>0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  <c:pt idx="8">
                  <c:v>17</c:v>
                </c:pt>
                <c:pt idx="9">
                  <c:v>20</c:v>
                </c:pt>
              </c:numCache>
            </c:numRef>
          </c:xVal>
          <c:yVal>
            <c:numRef>
              <c:f>'Reboq3.5'!$J$21:$J$30</c:f>
              <c:numCache>
                <c:formatCode>0.00</c:formatCode>
                <c:ptCount val="10"/>
                <c:pt idx="0">
                  <c:v>65.346519999999998</c:v>
                </c:pt>
                <c:pt idx="1">
                  <c:v>40.709519999999998</c:v>
                </c:pt>
                <c:pt idx="2">
                  <c:v>35.782119999999999</c:v>
                </c:pt>
                <c:pt idx="3">
                  <c:v>33.670377142857141</c:v>
                </c:pt>
                <c:pt idx="4">
                  <c:v>32.497186666666664</c:v>
                </c:pt>
                <c:pt idx="5">
                  <c:v>31.750610909090909</c:v>
                </c:pt>
                <c:pt idx="6">
                  <c:v>31.233750769230767</c:v>
                </c:pt>
                <c:pt idx="7">
                  <c:v>30.85472</c:v>
                </c:pt>
                <c:pt idx="8">
                  <c:v>30.564872941176471</c:v>
                </c:pt>
                <c:pt idx="9">
                  <c:v>30.238795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EA8-411D-A3CA-37C87C7C5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7178976"/>
        <c:axId val="367178584"/>
      </c:scatterChart>
      <c:valAx>
        <c:axId val="367178976"/>
        <c:scaling>
          <c:orientation val="minMax"/>
          <c:max val="20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67178584"/>
        <c:crosses val="autoZero"/>
        <c:crossBetween val="midCat"/>
        <c:majorUnit val="1"/>
      </c:valAx>
      <c:valAx>
        <c:axId val="367178584"/>
        <c:scaling>
          <c:orientation val="minMax"/>
          <c:max val="7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671789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 sz="1200" b="1">
                <a:effectLst/>
              </a:rPr>
              <a:t>Custo (€/h) do trator em função da intensidade de utilização anual</a:t>
            </a:r>
            <a:endParaRPr lang="pt-PT" sz="1200">
              <a:effectLst/>
            </a:endParaRPr>
          </a:p>
        </c:rich>
      </c:tx>
      <c:layout>
        <c:manualLayout>
          <c:xMode val="edge"/>
          <c:yMode val="edge"/>
          <c:x val="0.21098562122876494"/>
          <c:y val="1.6716817118020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Trator35!$A$16:$A$25</c:f>
              <c:numCache>
                <c:formatCode>0</c:formatCode>
                <c:ptCount val="1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</c:numCache>
            </c:numRef>
          </c:xVal>
          <c:yVal>
            <c:numRef>
              <c:f>Trator35!$D$16:$D$25</c:f>
              <c:numCache>
                <c:formatCode>0.00</c:formatCode>
                <c:ptCount val="10"/>
                <c:pt idx="0">
                  <c:v>37.086783333333337</c:v>
                </c:pt>
                <c:pt idx="1">
                  <c:v>25.518908333333336</c:v>
                </c:pt>
                <c:pt idx="2">
                  <c:v>21.662950000000002</c:v>
                </c:pt>
                <c:pt idx="3">
                  <c:v>19.734970833333335</c:v>
                </c:pt>
                <c:pt idx="4">
                  <c:v>18.578183333333335</c:v>
                </c:pt>
                <c:pt idx="5">
                  <c:v>17.806991666666669</c:v>
                </c:pt>
                <c:pt idx="6">
                  <c:v>17.256140476190478</c:v>
                </c:pt>
                <c:pt idx="7">
                  <c:v>16.843002083333332</c:v>
                </c:pt>
                <c:pt idx="8">
                  <c:v>16.521672222222222</c:v>
                </c:pt>
                <c:pt idx="9">
                  <c:v>16.264608333333335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771-4995-A921-F8140A262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7177408"/>
        <c:axId val="367177800"/>
      </c:scatterChart>
      <c:valAx>
        <c:axId val="367177408"/>
        <c:scaling>
          <c:orientation val="minMax"/>
          <c:max val="1000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67177800"/>
        <c:crosses val="autoZero"/>
        <c:crossBetween val="midCat"/>
      </c:valAx>
      <c:valAx>
        <c:axId val="367177800"/>
        <c:scaling>
          <c:orientation val="minMax"/>
          <c:max val="4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671774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32</xdr:row>
      <xdr:rowOff>174307</xdr:rowOff>
    </xdr:from>
    <xdr:to>
      <xdr:col>10</xdr:col>
      <xdr:colOff>548640</xdr:colOff>
      <xdr:row>54</xdr:row>
      <xdr:rowOff>114300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29</xdr:row>
      <xdr:rowOff>3810</xdr:rowOff>
    </xdr:from>
    <xdr:to>
      <xdr:col>8</xdr:col>
      <xdr:colOff>670560</xdr:colOff>
      <xdr:row>51</xdr:row>
      <xdr:rowOff>114300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29</xdr:row>
      <xdr:rowOff>19050</xdr:rowOff>
    </xdr:from>
    <xdr:to>
      <xdr:col>8</xdr:col>
      <xdr:colOff>670560</xdr:colOff>
      <xdr:row>51</xdr:row>
      <xdr:rowOff>129540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14287</xdr:rowOff>
    </xdr:from>
    <xdr:to>
      <xdr:col>10</xdr:col>
      <xdr:colOff>495300</xdr:colOff>
      <xdr:row>55</xdr:row>
      <xdr:rowOff>28575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14287</xdr:rowOff>
    </xdr:from>
    <xdr:to>
      <xdr:col>10</xdr:col>
      <xdr:colOff>495300</xdr:colOff>
      <xdr:row>55</xdr:row>
      <xdr:rowOff>28575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32</xdr:row>
      <xdr:rowOff>37147</xdr:rowOff>
    </xdr:from>
    <xdr:to>
      <xdr:col>10</xdr:col>
      <xdr:colOff>541020</xdr:colOff>
      <xdr:row>54</xdr:row>
      <xdr:rowOff>51435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0</xdr:rowOff>
    </xdr:from>
    <xdr:to>
      <xdr:col>10</xdr:col>
      <xdr:colOff>495300</xdr:colOff>
      <xdr:row>55</xdr:row>
      <xdr:rowOff>71438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32</xdr:row>
      <xdr:rowOff>52387</xdr:rowOff>
    </xdr:from>
    <xdr:to>
      <xdr:col>10</xdr:col>
      <xdr:colOff>541020</xdr:colOff>
      <xdr:row>54</xdr:row>
      <xdr:rowOff>66675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82867</xdr:rowOff>
    </xdr:from>
    <xdr:to>
      <xdr:col>10</xdr:col>
      <xdr:colOff>495300</xdr:colOff>
      <xdr:row>56</xdr:row>
      <xdr:rowOff>142875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82867</xdr:rowOff>
    </xdr:from>
    <xdr:to>
      <xdr:col>10</xdr:col>
      <xdr:colOff>495300</xdr:colOff>
      <xdr:row>56</xdr:row>
      <xdr:rowOff>142875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19050</xdr:rowOff>
    </xdr:from>
    <xdr:to>
      <xdr:col>8</xdr:col>
      <xdr:colOff>647700</xdr:colOff>
      <xdr:row>51</xdr:row>
      <xdr:rowOff>129540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DocTrab_DcC/19CC_Milho_UTAD_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Rt_Cto_Eq"/>
      <sheetName val="Cto_Trat"/>
      <sheetName val="Cto_OpCt"/>
      <sheetName val="Cal_Cult"/>
      <sheetName val="Cto_MO_Mq"/>
      <sheetName val="Cto_Out_RE"/>
      <sheetName val="IHERA_Trat"/>
      <sheetName val="IHER_Equip"/>
      <sheetName val="Vel_E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J2">
            <v>3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abSelected="1" zoomScaleSheetLayoutView="100" workbookViewId="0">
      <pane ySplit="1" topLeftCell="A2" activePane="bottomLeft" state="frozen"/>
      <selection pane="bottomLeft" activeCell="E10" sqref="E10"/>
    </sheetView>
  </sheetViews>
  <sheetFormatPr defaultColWidth="8" defaultRowHeight="15.6" x14ac:dyDescent="0.3"/>
  <cols>
    <col min="1" max="1" width="14.33203125" style="9" customWidth="1"/>
    <col min="2" max="2" width="83.6640625" style="9" customWidth="1"/>
    <col min="3" max="16384" width="8" style="9"/>
  </cols>
  <sheetData>
    <row r="1" spans="1:2" s="11" customFormat="1" ht="20.100000000000001" customHeight="1" x14ac:dyDescent="0.25">
      <c r="A1" s="316" t="s">
        <v>0</v>
      </c>
    </row>
    <row r="2" spans="1:2" s="11" customFormat="1" ht="20.100000000000001" customHeight="1" x14ac:dyDescent="0.25">
      <c r="A2" s="12" t="s">
        <v>1</v>
      </c>
      <c r="B2" s="10" t="s">
        <v>2</v>
      </c>
    </row>
    <row r="3" spans="1:2" s="11" customFormat="1" ht="20.100000000000001" customHeight="1" x14ac:dyDescent="0.25">
      <c r="A3" s="12" t="s">
        <v>848</v>
      </c>
      <c r="B3" s="10" t="s">
        <v>3</v>
      </c>
    </row>
    <row r="4" spans="1:2" s="11" customFormat="1" ht="20.100000000000001" customHeight="1" x14ac:dyDescent="0.25">
      <c r="A4" s="12" t="s">
        <v>854</v>
      </c>
      <c r="B4" s="10" t="s">
        <v>6</v>
      </c>
    </row>
    <row r="5" spans="1:2" s="11" customFormat="1" ht="20.100000000000001" customHeight="1" x14ac:dyDescent="0.25">
      <c r="A5" s="12" t="s">
        <v>855</v>
      </c>
      <c r="B5" s="10" t="s">
        <v>7</v>
      </c>
    </row>
    <row r="6" spans="1:2" s="11" customFormat="1" ht="20.100000000000001" customHeight="1" x14ac:dyDescent="0.25">
      <c r="A6" s="12" t="s">
        <v>856</v>
      </c>
      <c r="B6" s="10" t="s">
        <v>8</v>
      </c>
    </row>
    <row r="7" spans="1:2" s="11" customFormat="1" ht="20.100000000000001" customHeight="1" x14ac:dyDescent="0.25">
      <c r="A7" s="12" t="s">
        <v>857</v>
      </c>
      <c r="B7" s="10" t="s">
        <v>10</v>
      </c>
    </row>
    <row r="8" spans="1:2" s="11" customFormat="1" ht="20.100000000000001" customHeight="1" x14ac:dyDescent="0.25">
      <c r="A8" s="12" t="s">
        <v>858</v>
      </c>
      <c r="B8" s="10" t="s">
        <v>12</v>
      </c>
    </row>
    <row r="9" spans="1:2" s="11" customFormat="1" ht="20.100000000000001" customHeight="1" x14ac:dyDescent="0.25">
      <c r="A9" s="12" t="s">
        <v>859</v>
      </c>
      <c r="B9" s="10" t="s">
        <v>14</v>
      </c>
    </row>
    <row r="10" spans="1:2" s="11" customFormat="1" ht="20.100000000000001" customHeight="1" x14ac:dyDescent="0.25">
      <c r="A10" s="12" t="s">
        <v>860</v>
      </c>
      <c r="B10" s="10" t="s">
        <v>862</v>
      </c>
    </row>
    <row r="11" spans="1:2" s="11" customFormat="1" ht="20.100000000000001" customHeight="1" x14ac:dyDescent="0.25">
      <c r="A11" s="12" t="s">
        <v>861</v>
      </c>
      <c r="B11" s="10" t="s">
        <v>863</v>
      </c>
    </row>
    <row r="12" spans="1:2" s="11" customFormat="1" ht="20.100000000000001" customHeight="1" x14ac:dyDescent="0.25">
      <c r="A12" s="12" t="s">
        <v>1035</v>
      </c>
      <c r="B12" s="10" t="s">
        <v>1036</v>
      </c>
    </row>
    <row r="13" spans="1:2" s="11" customFormat="1" ht="20.100000000000001" customHeight="1" x14ac:dyDescent="0.25">
      <c r="A13" s="12" t="s">
        <v>843</v>
      </c>
      <c r="B13" s="10" t="s">
        <v>850</v>
      </c>
    </row>
    <row r="14" spans="1:2" s="11" customFormat="1" ht="20.100000000000001" customHeight="1" x14ac:dyDescent="0.25">
      <c r="A14" s="12" t="s">
        <v>844</v>
      </c>
      <c r="B14" s="10" t="s">
        <v>851</v>
      </c>
    </row>
    <row r="15" spans="1:2" s="11" customFormat="1" ht="20.100000000000001" customHeight="1" x14ac:dyDescent="0.25">
      <c r="A15" s="12" t="s">
        <v>845</v>
      </c>
      <c r="B15" s="10" t="s">
        <v>852</v>
      </c>
    </row>
    <row r="16" spans="1:2" s="11" customFormat="1" ht="20.100000000000001" customHeight="1" x14ac:dyDescent="0.25">
      <c r="A16" s="13" t="s">
        <v>864</v>
      </c>
      <c r="B16" s="10" t="s">
        <v>16</v>
      </c>
    </row>
    <row r="17" spans="1:2" s="11" customFormat="1" ht="20.100000000000001" customHeight="1" x14ac:dyDescent="0.25">
      <c r="A17" s="12" t="s">
        <v>865</v>
      </c>
      <c r="B17" s="10" t="s">
        <v>17</v>
      </c>
    </row>
    <row r="18" spans="1:2" s="11" customFormat="1" ht="20.100000000000001" customHeight="1" x14ac:dyDescent="0.25">
      <c r="A18" s="12" t="s">
        <v>18</v>
      </c>
      <c r="B18" s="10" t="s">
        <v>19</v>
      </c>
    </row>
    <row r="19" spans="1:2" s="11" customFormat="1" ht="20.100000000000001" customHeight="1" x14ac:dyDescent="0.25">
      <c r="A19" s="12" t="s">
        <v>866</v>
      </c>
      <c r="B19" s="10" t="s">
        <v>21</v>
      </c>
    </row>
    <row r="20" spans="1:2" s="11" customFormat="1" ht="20.100000000000001" customHeight="1" x14ac:dyDescent="0.25">
      <c r="A20" s="12" t="s">
        <v>867</v>
      </c>
      <c r="B20" s="10" t="s">
        <v>22</v>
      </c>
    </row>
    <row r="21" spans="1:2" s="11" customFormat="1" ht="20.100000000000001" customHeight="1" x14ac:dyDescent="0.25">
      <c r="A21" s="12" t="s">
        <v>849</v>
      </c>
      <c r="B21" s="10" t="s">
        <v>1030</v>
      </c>
    </row>
    <row r="22" spans="1:2" s="11" customFormat="1" ht="20.100000000000001" customHeight="1" x14ac:dyDescent="0.25">
      <c r="A22" s="12" t="s">
        <v>853</v>
      </c>
      <c r="B22" s="10" t="s">
        <v>1031</v>
      </c>
    </row>
    <row r="23" spans="1:2" x14ac:dyDescent="0.3">
      <c r="A23" s="12" t="s">
        <v>868</v>
      </c>
      <c r="B23" s="11" t="s">
        <v>1032</v>
      </c>
    </row>
    <row r="24" spans="1:2" x14ac:dyDescent="0.3">
      <c r="A24" s="12" t="s">
        <v>1028</v>
      </c>
      <c r="B24" s="9" t="s">
        <v>1033</v>
      </c>
    </row>
    <row r="25" spans="1:2" x14ac:dyDescent="0.3">
      <c r="A25" s="12" t="s">
        <v>1029</v>
      </c>
      <c r="B25" s="9" t="s">
        <v>1034</v>
      </c>
    </row>
  </sheetData>
  <hyperlinks>
    <hyperlink ref="A23" location="'Vel  EfC'!A1" display="Vel_EfC"/>
    <hyperlink ref="A24" location="Potencias!A1" display="Potencias"/>
    <hyperlink ref="A25" location="Reparações!A1" display="Reparações"/>
    <hyperlink ref="A11" location="Reboq4.5!A1" display="Reboq4.5"/>
    <hyperlink ref="A12" location="EquipPot!A1" display="EquipPot"/>
  </hyperlinks>
  <printOptions horizontalCentered="1" gridLines="1"/>
  <pageMargins left="7.874015748031496E-2" right="7.874015748031496E-2" top="0.75196850393700787" bottom="0.39370078740157483" header="0.31496062992125984" footer="0.31496062992125984"/>
  <pageSetup fitToWidth="0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zoomScaleSheetLayoutView="100" workbookViewId="0">
      <pane ySplit="1" topLeftCell="A2" activePane="bottomLeft" state="frozen"/>
      <selection pane="bottomLeft" activeCell="I9" sqref="I9"/>
    </sheetView>
  </sheetViews>
  <sheetFormatPr defaultColWidth="8" defaultRowHeight="13.2" x14ac:dyDescent="0.25"/>
  <cols>
    <col min="1" max="1" width="12.33203125" customWidth="1"/>
    <col min="2" max="9" width="8.6640625" customWidth="1"/>
    <col min="10" max="10" width="10.88671875" customWidth="1"/>
    <col min="11" max="11" width="8.6640625" customWidth="1"/>
    <col min="12" max="12" width="12.109375" customWidth="1"/>
    <col min="13" max="13" width="2.88671875" customWidth="1"/>
    <col min="14" max="14" width="6.109375" customWidth="1"/>
  </cols>
  <sheetData>
    <row r="1" spans="1:14" ht="15" customHeight="1" x14ac:dyDescent="0.3">
      <c r="A1" s="297" t="s">
        <v>869</v>
      </c>
      <c r="B1" s="327" t="s">
        <v>612</v>
      </c>
      <c r="C1" s="328"/>
      <c r="D1" s="328"/>
      <c r="E1" s="328"/>
      <c r="F1" s="328"/>
      <c r="G1" s="328"/>
      <c r="H1" s="328"/>
      <c r="I1" s="328"/>
      <c r="J1" s="328"/>
      <c r="K1" s="328"/>
    </row>
    <row r="2" spans="1:14" ht="15" customHeight="1" x14ac:dyDescent="0.25">
      <c r="A2" s="63"/>
      <c r="B2" s="64" t="s">
        <v>100</v>
      </c>
      <c r="C2" s="64" t="s">
        <v>149</v>
      </c>
      <c r="D2" s="64" t="s">
        <v>35</v>
      </c>
      <c r="E2" s="64" t="s">
        <v>89</v>
      </c>
      <c r="F2" s="64" t="s">
        <v>32</v>
      </c>
      <c r="G2" s="64" t="s">
        <v>577</v>
      </c>
      <c r="H2" s="64" t="s">
        <v>131</v>
      </c>
      <c r="I2" s="64" t="s">
        <v>578</v>
      </c>
      <c r="J2" s="64" t="s">
        <v>579</v>
      </c>
      <c r="K2" s="65" t="s">
        <v>580</v>
      </c>
      <c r="L2" s="3"/>
      <c r="N2" s="3"/>
    </row>
    <row r="3" spans="1:14" ht="15" customHeight="1" x14ac:dyDescent="0.25">
      <c r="A3" s="63"/>
      <c r="B3" s="64" t="s">
        <v>416</v>
      </c>
      <c r="C3" s="64" t="s">
        <v>417</v>
      </c>
      <c r="D3" s="64" t="s">
        <v>418</v>
      </c>
      <c r="E3" s="64" t="s">
        <v>212</v>
      </c>
      <c r="F3" s="64" t="s">
        <v>418</v>
      </c>
      <c r="G3" s="64" t="s">
        <v>581</v>
      </c>
      <c r="H3" s="64" t="s">
        <v>431</v>
      </c>
      <c r="I3" s="64" t="s">
        <v>419</v>
      </c>
      <c r="J3" s="64" t="s">
        <v>207</v>
      </c>
      <c r="K3" s="64" t="s">
        <v>207</v>
      </c>
      <c r="L3" s="3"/>
      <c r="N3" s="3"/>
    </row>
    <row r="4" spans="1:14" ht="15" customHeight="1" x14ac:dyDescent="0.25">
      <c r="A4" s="329" t="s">
        <v>835</v>
      </c>
      <c r="B4" s="66">
        <v>0</v>
      </c>
      <c r="C4" s="67">
        <v>0</v>
      </c>
      <c r="D4" s="66">
        <f t="shared" ref="D4" si="0">(B4*C4)/10</f>
        <v>0</v>
      </c>
      <c r="E4" s="68">
        <v>0</v>
      </c>
      <c r="F4" s="66">
        <f t="shared" ref="F4" si="1">(D4*E4)/100</f>
        <v>0</v>
      </c>
      <c r="G4" s="68">
        <v>1</v>
      </c>
      <c r="H4" s="66">
        <v>10</v>
      </c>
      <c r="I4" s="66">
        <v>1</v>
      </c>
      <c r="J4" s="66">
        <f t="shared" ref="J4" si="2">+H4*I4</f>
        <v>10</v>
      </c>
      <c r="K4" s="68">
        <f>+J4</f>
        <v>10</v>
      </c>
      <c r="L4" s="7"/>
      <c r="N4" s="3"/>
    </row>
    <row r="5" spans="1:14" ht="15" customHeight="1" x14ac:dyDescent="0.25">
      <c r="A5" s="320"/>
      <c r="B5" s="69"/>
      <c r="C5" s="66"/>
      <c r="D5" s="67"/>
      <c r="E5" s="66"/>
      <c r="F5" s="68"/>
      <c r="G5" s="66"/>
      <c r="H5" s="68"/>
      <c r="I5" s="66"/>
      <c r="J5" s="68"/>
      <c r="K5" s="68"/>
      <c r="L5" s="3"/>
      <c r="N5" s="3"/>
    </row>
    <row r="6" spans="1:14" ht="15" customHeight="1" x14ac:dyDescent="0.25">
      <c r="A6" s="320"/>
      <c r="B6" s="68" t="s">
        <v>420</v>
      </c>
      <c r="C6" s="68" t="s">
        <v>421</v>
      </c>
      <c r="D6" s="68" t="s">
        <v>210</v>
      </c>
      <c r="E6" s="68" t="s">
        <v>510</v>
      </c>
      <c r="F6" s="68" t="s">
        <v>511</v>
      </c>
      <c r="G6" s="48" t="s">
        <v>512</v>
      </c>
      <c r="H6" s="48" t="s">
        <v>498</v>
      </c>
      <c r="I6" s="48" t="s">
        <v>422</v>
      </c>
      <c r="J6" s="71" t="s">
        <v>92</v>
      </c>
      <c r="K6" s="71" t="s">
        <v>94</v>
      </c>
      <c r="L6" s="3"/>
      <c r="N6" s="3"/>
    </row>
    <row r="7" spans="1:14" ht="15" customHeight="1" x14ac:dyDescent="0.25">
      <c r="A7" s="320"/>
      <c r="B7" s="68" t="s">
        <v>205</v>
      </c>
      <c r="C7" s="68" t="s">
        <v>204</v>
      </c>
      <c r="D7" s="68" t="s">
        <v>206</v>
      </c>
      <c r="E7" s="68" t="s">
        <v>212</v>
      </c>
      <c r="F7" s="68" t="s">
        <v>212</v>
      </c>
      <c r="G7" s="48" t="s">
        <v>208</v>
      </c>
      <c r="H7" s="48" t="s">
        <v>208</v>
      </c>
      <c r="I7" s="48" t="s">
        <v>208</v>
      </c>
      <c r="J7" s="71" t="s">
        <v>208</v>
      </c>
      <c r="K7" s="71" t="s">
        <v>61</v>
      </c>
      <c r="L7" s="3"/>
      <c r="N7" s="3"/>
    </row>
    <row r="8" spans="1:14" ht="15" customHeight="1" x14ac:dyDescent="0.25">
      <c r="A8" s="320"/>
      <c r="B8" s="68">
        <f>+IHERA_Eq!F167</f>
        <v>3470</v>
      </c>
      <c r="C8" s="68">
        <v>0</v>
      </c>
      <c r="D8" s="68">
        <f>+IHERA_Eq!H247</f>
        <v>10</v>
      </c>
      <c r="E8" s="66">
        <f>+IHERA_Eq!L1</f>
        <v>3</v>
      </c>
      <c r="F8" s="66">
        <v>0</v>
      </c>
      <c r="G8" s="66">
        <f>(B8)/(K4*D8)</f>
        <v>34.700000000000003</v>
      </c>
      <c r="H8" s="66">
        <f>((B8)/(2*K4))*(E8/100)</f>
        <v>5.2050000000000001</v>
      </c>
      <c r="I8" s="66">
        <f>((B8)/(2*K4)*(F8/100))</f>
        <v>0</v>
      </c>
      <c r="J8" s="66">
        <f t="shared" ref="J8" si="3">G8+H8+I8</f>
        <v>39.905000000000001</v>
      </c>
      <c r="K8" s="66">
        <f>+J8*H4</f>
        <v>399.05</v>
      </c>
      <c r="L8" s="3"/>
      <c r="N8" s="3"/>
    </row>
    <row r="9" spans="1:14" ht="15" customHeight="1" x14ac:dyDescent="0.25">
      <c r="A9" s="320"/>
      <c r="B9" s="69"/>
      <c r="C9" s="66"/>
      <c r="D9" s="67"/>
      <c r="E9" s="66"/>
      <c r="F9" s="68"/>
      <c r="G9" s="66"/>
      <c r="H9" s="68"/>
      <c r="I9" s="66"/>
      <c r="J9" s="68"/>
      <c r="K9" s="68"/>
      <c r="L9" s="3"/>
      <c r="N9" s="3"/>
    </row>
    <row r="10" spans="1:14" ht="15" customHeight="1" x14ac:dyDescent="0.25">
      <c r="A10" s="320"/>
      <c r="B10" s="69" t="s">
        <v>582</v>
      </c>
      <c r="C10" s="68" t="s">
        <v>513</v>
      </c>
      <c r="D10" s="68" t="s">
        <v>423</v>
      </c>
      <c r="E10" s="68" t="s">
        <v>514</v>
      </c>
      <c r="F10" s="48" t="s">
        <v>583</v>
      </c>
      <c r="G10" s="68" t="s">
        <v>516</v>
      </c>
      <c r="H10" s="68" t="s">
        <v>517</v>
      </c>
      <c r="I10" s="48" t="s">
        <v>518</v>
      </c>
      <c r="J10" s="70"/>
      <c r="K10" s="70"/>
      <c r="L10" s="3"/>
      <c r="N10" s="3"/>
    </row>
    <row r="11" spans="1:14" ht="15" customHeight="1" x14ac:dyDescent="0.25">
      <c r="A11" s="320"/>
      <c r="B11" s="69" t="s">
        <v>204</v>
      </c>
      <c r="C11" s="68" t="s">
        <v>39</v>
      </c>
      <c r="D11" s="68" t="s">
        <v>424</v>
      </c>
      <c r="E11" s="68" t="s">
        <v>213</v>
      </c>
      <c r="F11" s="48" t="s">
        <v>208</v>
      </c>
      <c r="G11" s="68" t="s">
        <v>214</v>
      </c>
      <c r="H11" s="68" t="s">
        <v>213</v>
      </c>
      <c r="I11" s="48" t="s">
        <v>208</v>
      </c>
      <c r="J11" s="70"/>
      <c r="K11" s="70"/>
      <c r="L11" s="3"/>
      <c r="N11" s="3"/>
    </row>
    <row r="12" spans="1:14" ht="15" customHeight="1" x14ac:dyDescent="0.25">
      <c r="A12" s="320"/>
      <c r="B12" s="63">
        <v>0</v>
      </c>
      <c r="C12" s="66">
        <v>0</v>
      </c>
      <c r="D12" s="66">
        <f>+B12*C12</f>
        <v>0</v>
      </c>
      <c r="E12" s="66">
        <v>0</v>
      </c>
      <c r="F12" s="66">
        <f>+D12*E12</f>
        <v>0</v>
      </c>
      <c r="G12" s="72">
        <v>0</v>
      </c>
      <c r="H12" s="66">
        <v>0</v>
      </c>
      <c r="I12" s="66">
        <f>C8*G12*H12</f>
        <v>0</v>
      </c>
      <c r="J12" s="70"/>
      <c r="K12" s="70"/>
      <c r="L12" s="3"/>
      <c r="N12" s="3"/>
    </row>
    <row r="13" spans="1:14" ht="15" customHeight="1" x14ac:dyDescent="0.25">
      <c r="A13" s="320"/>
      <c r="B13" s="69"/>
      <c r="C13" s="66"/>
      <c r="D13" s="67"/>
      <c r="E13" s="66"/>
      <c r="F13" s="68"/>
      <c r="G13" s="66"/>
      <c r="H13" s="68"/>
      <c r="I13" s="66"/>
      <c r="J13" s="68"/>
      <c r="K13" s="68"/>
      <c r="L13" s="3"/>
      <c r="N13" s="3"/>
    </row>
    <row r="14" spans="1:14" ht="15" customHeight="1" x14ac:dyDescent="0.25">
      <c r="A14" s="320"/>
      <c r="B14" s="68" t="s">
        <v>519</v>
      </c>
      <c r="C14" s="68" t="s">
        <v>520</v>
      </c>
      <c r="D14" s="48" t="s">
        <v>521</v>
      </c>
      <c r="E14" s="68" t="s">
        <v>584</v>
      </c>
      <c r="F14" s="48" t="s">
        <v>584</v>
      </c>
      <c r="G14" s="68" t="s">
        <v>585</v>
      </c>
      <c r="H14" s="68" t="s">
        <v>586</v>
      </c>
      <c r="I14" s="48" t="s">
        <v>524</v>
      </c>
      <c r="J14" s="71" t="s">
        <v>96</v>
      </c>
      <c r="K14" s="71" t="s">
        <v>98</v>
      </c>
      <c r="L14" s="3"/>
    </row>
    <row r="15" spans="1:14" ht="15" customHeight="1" x14ac:dyDescent="0.25">
      <c r="A15" s="320"/>
      <c r="B15" s="68" t="s">
        <v>205</v>
      </c>
      <c r="C15" s="68" t="s">
        <v>215</v>
      </c>
      <c r="D15" s="48" t="s">
        <v>208</v>
      </c>
      <c r="E15" s="68" t="s">
        <v>212</v>
      </c>
      <c r="F15" s="48" t="s">
        <v>208</v>
      </c>
      <c r="G15" s="68" t="s">
        <v>208</v>
      </c>
      <c r="H15" s="68" t="s">
        <v>587</v>
      </c>
      <c r="I15" s="48" t="s">
        <v>208</v>
      </c>
      <c r="J15" s="71" t="s">
        <v>208</v>
      </c>
      <c r="K15" s="71" t="s">
        <v>61</v>
      </c>
      <c r="L15" s="3"/>
      <c r="N15" s="3"/>
    </row>
    <row r="16" spans="1:14" ht="15" customHeight="1" x14ac:dyDescent="0.25">
      <c r="A16" s="320"/>
      <c r="B16" s="68">
        <v>250</v>
      </c>
      <c r="C16" s="68">
        <v>1000</v>
      </c>
      <c r="D16" s="66">
        <f>+B16/C16</f>
        <v>0.25</v>
      </c>
      <c r="E16" s="66">
        <f>+IHERA_Eq!J247</f>
        <v>0.04</v>
      </c>
      <c r="F16" s="66">
        <f>B8*(E16/100)</f>
        <v>1.3880000000000001</v>
      </c>
      <c r="G16" s="68">
        <v>0</v>
      </c>
      <c r="H16" s="68">
        <v>0</v>
      </c>
      <c r="I16" s="68">
        <f>+G16*H16</f>
        <v>0</v>
      </c>
      <c r="J16" s="66">
        <f>F12+I12+D16+F16+I16</f>
        <v>1.6380000000000001</v>
      </c>
      <c r="K16" s="66">
        <f>+J16*H4</f>
        <v>16.380000000000003</v>
      </c>
      <c r="L16" s="3"/>
      <c r="N16" s="3"/>
    </row>
    <row r="17" spans="1:11" ht="15" customHeight="1" x14ac:dyDescent="0.25">
      <c r="A17" s="63"/>
      <c r="B17" s="69"/>
      <c r="C17" s="66"/>
      <c r="D17" s="67"/>
      <c r="E17" s="66"/>
      <c r="F17" s="68"/>
      <c r="G17" s="66"/>
      <c r="H17" s="68"/>
      <c r="I17" s="66"/>
      <c r="J17" s="68"/>
      <c r="K17" s="68"/>
    </row>
    <row r="18" spans="1:11" ht="15" customHeight="1" x14ac:dyDescent="0.25">
      <c r="A18" s="63"/>
      <c r="B18" s="69"/>
      <c r="C18" s="337" t="s">
        <v>15</v>
      </c>
      <c r="D18" s="340"/>
      <c r="E18" s="340"/>
      <c r="F18" s="340"/>
      <c r="G18" s="339" t="s">
        <v>1047</v>
      </c>
      <c r="H18" s="339"/>
      <c r="I18" s="303">
        <f>+Trator53!A28</f>
        <v>300</v>
      </c>
      <c r="J18" s="332" t="s">
        <v>627</v>
      </c>
      <c r="K18" s="334"/>
    </row>
    <row r="19" spans="1:11" ht="15" customHeight="1" x14ac:dyDescent="0.25">
      <c r="A19" s="68" t="s">
        <v>28</v>
      </c>
      <c r="B19" s="68" t="s">
        <v>588</v>
      </c>
      <c r="C19" s="73" t="s">
        <v>619</v>
      </c>
      <c r="D19" s="73" t="s">
        <v>620</v>
      </c>
      <c r="E19" s="73" t="s">
        <v>621</v>
      </c>
      <c r="F19" s="68" t="s">
        <v>622</v>
      </c>
      <c r="G19" s="46" t="s">
        <v>92</v>
      </c>
      <c r="H19" s="46" t="s">
        <v>96</v>
      </c>
      <c r="I19" s="85" t="s">
        <v>216</v>
      </c>
      <c r="J19" s="74" t="s">
        <v>589</v>
      </c>
      <c r="K19" s="74" t="s">
        <v>623</v>
      </c>
    </row>
    <row r="20" spans="1:11" ht="15" customHeight="1" x14ac:dyDescent="0.25">
      <c r="A20" s="68" t="s">
        <v>591</v>
      </c>
      <c r="B20" s="68" t="s">
        <v>207</v>
      </c>
      <c r="C20" s="68" t="s">
        <v>205</v>
      </c>
      <c r="D20" s="68" t="s">
        <v>205</v>
      </c>
      <c r="E20" s="68" t="s">
        <v>205</v>
      </c>
      <c r="F20" s="68" t="s">
        <v>205</v>
      </c>
      <c r="G20" s="46" t="s">
        <v>208</v>
      </c>
      <c r="H20" s="46" t="s">
        <v>208</v>
      </c>
      <c r="I20" s="85" t="s">
        <v>208</v>
      </c>
      <c r="J20" s="74" t="s">
        <v>205</v>
      </c>
      <c r="K20" s="74" t="s">
        <v>205</v>
      </c>
    </row>
    <row r="21" spans="1:11" ht="15" customHeight="1" x14ac:dyDescent="0.25">
      <c r="A21" s="68">
        <v>1</v>
      </c>
      <c r="B21" s="68">
        <f>+K4</f>
        <v>10</v>
      </c>
      <c r="C21" s="66">
        <f>($B$8*0.9)/(B21*$D$8)+(($B$8*1.1)/(2*B21))*($E$8/100)+(($B$8*1.1)/(2*B21)*($F$8/100))</f>
        <v>36.955500000000001</v>
      </c>
      <c r="D21" s="66">
        <f>$D$12*$E$12+$C$8*$G$12*$H$12+$B$16/$C$16+$B$8*($E$16/100)+$G$16*$H$16</f>
        <v>1.6380000000000001</v>
      </c>
      <c r="E21" s="75">
        <f>+C21+D21</f>
        <v>38.593499999999999</v>
      </c>
      <c r="F21" s="75">
        <f>+A21*E21</f>
        <v>38.593499999999999</v>
      </c>
      <c r="G21" s="75">
        <f>+Trator53!B28</f>
        <v>11.102966666666667</v>
      </c>
      <c r="H21" s="75">
        <f>+Trator53!C28</f>
        <v>15.650053333333332</v>
      </c>
      <c r="I21" s="77">
        <f>+H21+G21</f>
        <v>26.753019999999999</v>
      </c>
      <c r="J21" s="77">
        <f>+E21+$I$21</f>
        <v>65.346519999999998</v>
      </c>
      <c r="K21" s="77">
        <f>+B21*J21</f>
        <v>653.46519999999998</v>
      </c>
    </row>
    <row r="22" spans="1:11" ht="15" customHeight="1" x14ac:dyDescent="0.25">
      <c r="A22" s="68">
        <f>+A21+2</f>
        <v>3</v>
      </c>
      <c r="B22" s="68">
        <f>+A22*$K$4</f>
        <v>30</v>
      </c>
      <c r="C22" s="66">
        <f t="shared" ref="C22:C30" si="4">($B$8*0.9)/(B22*$D$8)+(($B$8*1.1)/(2*B22))*($E$8/100)+(($B$8*1.1)/(2*B22)*($F$8/100))</f>
        <v>12.3185</v>
      </c>
      <c r="D22" s="66">
        <f t="shared" ref="D22:D30" si="5">$D$12*$E$12+$C$8*$G$12*$H$12+$B$16/$C$16+$B$8*($E$16/100)+$G$16*$H$16</f>
        <v>1.6380000000000001</v>
      </c>
      <c r="E22" s="75">
        <f t="shared" ref="E22:E30" si="6">+C22+D22</f>
        <v>13.9565</v>
      </c>
      <c r="F22" s="75">
        <f t="shared" ref="F22:F30" si="7">+A22*E22</f>
        <v>41.869500000000002</v>
      </c>
      <c r="G22" s="75"/>
      <c r="H22" s="75"/>
      <c r="I22" s="76"/>
      <c r="J22" s="77">
        <f t="shared" ref="J22:J30" si="8">+E22+$I$21</f>
        <v>40.709519999999998</v>
      </c>
      <c r="K22" s="77">
        <f t="shared" ref="K22:K30" si="9">+B22*J22</f>
        <v>1221.2855999999999</v>
      </c>
    </row>
    <row r="23" spans="1:11" ht="15" customHeight="1" x14ac:dyDescent="0.25">
      <c r="A23" s="68">
        <f t="shared" ref="A23:A29" si="10">+A22+2</f>
        <v>5</v>
      </c>
      <c r="B23" s="68">
        <f t="shared" ref="B23:B30" si="11">+A23*$K$4</f>
        <v>50</v>
      </c>
      <c r="C23" s="66">
        <f t="shared" si="4"/>
        <v>7.3911000000000007</v>
      </c>
      <c r="D23" s="66">
        <f t="shared" si="5"/>
        <v>1.6380000000000001</v>
      </c>
      <c r="E23" s="75">
        <f t="shared" si="6"/>
        <v>9.0291000000000015</v>
      </c>
      <c r="F23" s="75">
        <f t="shared" si="7"/>
        <v>45.145500000000006</v>
      </c>
      <c r="G23" s="75"/>
      <c r="H23" s="75"/>
      <c r="I23" s="76"/>
      <c r="J23" s="77">
        <f t="shared" si="8"/>
        <v>35.782119999999999</v>
      </c>
      <c r="K23" s="77">
        <f t="shared" si="9"/>
        <v>1789.106</v>
      </c>
    </row>
    <row r="24" spans="1:11" ht="15" customHeight="1" x14ac:dyDescent="0.25">
      <c r="A24" s="68">
        <f t="shared" si="10"/>
        <v>7</v>
      </c>
      <c r="B24" s="68">
        <f t="shared" si="11"/>
        <v>70</v>
      </c>
      <c r="C24" s="66">
        <f t="shared" si="4"/>
        <v>5.2793571428571431</v>
      </c>
      <c r="D24" s="66">
        <f t="shared" si="5"/>
        <v>1.6380000000000001</v>
      </c>
      <c r="E24" s="75">
        <f t="shared" si="6"/>
        <v>6.917357142857143</v>
      </c>
      <c r="F24" s="75">
        <f t="shared" si="7"/>
        <v>48.421500000000002</v>
      </c>
      <c r="G24" s="75"/>
      <c r="H24" s="75"/>
      <c r="I24" s="76"/>
      <c r="J24" s="77">
        <f t="shared" si="8"/>
        <v>33.670377142857141</v>
      </c>
      <c r="K24" s="77">
        <f t="shared" si="9"/>
        <v>2356.9263999999998</v>
      </c>
    </row>
    <row r="25" spans="1:11" ht="15" customHeight="1" x14ac:dyDescent="0.25">
      <c r="A25" s="68">
        <f t="shared" si="10"/>
        <v>9</v>
      </c>
      <c r="B25" s="68">
        <f t="shared" si="11"/>
        <v>90</v>
      </c>
      <c r="C25" s="66">
        <f t="shared" si="4"/>
        <v>4.1061666666666667</v>
      </c>
      <c r="D25" s="66">
        <f t="shared" si="5"/>
        <v>1.6380000000000001</v>
      </c>
      <c r="E25" s="75">
        <f t="shared" si="6"/>
        <v>5.7441666666666666</v>
      </c>
      <c r="F25" s="75">
        <f t="shared" si="7"/>
        <v>51.697499999999998</v>
      </c>
      <c r="G25" s="75"/>
      <c r="H25" s="75"/>
      <c r="I25" s="76"/>
      <c r="J25" s="77">
        <f t="shared" si="8"/>
        <v>32.497186666666664</v>
      </c>
      <c r="K25" s="77">
        <f t="shared" si="9"/>
        <v>2924.7467999999999</v>
      </c>
    </row>
    <row r="26" spans="1:11" ht="15" customHeight="1" x14ac:dyDescent="0.25">
      <c r="A26" s="68">
        <f t="shared" si="10"/>
        <v>11</v>
      </c>
      <c r="B26" s="68">
        <f t="shared" si="11"/>
        <v>110</v>
      </c>
      <c r="C26" s="66">
        <f t="shared" si="4"/>
        <v>3.3595909090909091</v>
      </c>
      <c r="D26" s="66">
        <f t="shared" si="5"/>
        <v>1.6380000000000001</v>
      </c>
      <c r="E26" s="75">
        <f t="shared" si="6"/>
        <v>4.997590909090909</v>
      </c>
      <c r="F26" s="75">
        <f t="shared" si="7"/>
        <v>54.973500000000001</v>
      </c>
      <c r="G26" s="75"/>
      <c r="H26" s="75"/>
      <c r="I26" s="76"/>
      <c r="J26" s="77">
        <f t="shared" si="8"/>
        <v>31.750610909090909</v>
      </c>
      <c r="K26" s="77">
        <f t="shared" si="9"/>
        <v>3492.5672</v>
      </c>
    </row>
    <row r="27" spans="1:11" ht="15" customHeight="1" x14ac:dyDescent="0.25">
      <c r="A27" s="68">
        <f t="shared" si="10"/>
        <v>13</v>
      </c>
      <c r="B27" s="68">
        <f t="shared" si="11"/>
        <v>130</v>
      </c>
      <c r="C27" s="66">
        <f t="shared" si="4"/>
        <v>2.8427307692307693</v>
      </c>
      <c r="D27" s="66">
        <f t="shared" si="5"/>
        <v>1.6380000000000001</v>
      </c>
      <c r="E27" s="75">
        <f t="shared" si="6"/>
        <v>4.4807307692307692</v>
      </c>
      <c r="F27" s="75">
        <f t="shared" si="7"/>
        <v>58.249499999999998</v>
      </c>
      <c r="G27" s="75"/>
      <c r="H27" s="75"/>
      <c r="I27" s="76"/>
      <c r="J27" s="77">
        <f t="shared" si="8"/>
        <v>31.233750769230767</v>
      </c>
      <c r="K27" s="77">
        <f t="shared" si="9"/>
        <v>4060.3875999999996</v>
      </c>
    </row>
    <row r="28" spans="1:11" ht="15" customHeight="1" x14ac:dyDescent="0.25">
      <c r="A28" s="68">
        <f t="shared" si="10"/>
        <v>15</v>
      </c>
      <c r="B28" s="68">
        <f t="shared" si="11"/>
        <v>150</v>
      </c>
      <c r="C28" s="66">
        <f t="shared" si="4"/>
        <v>2.4636999999999998</v>
      </c>
      <c r="D28" s="66">
        <f t="shared" si="5"/>
        <v>1.6380000000000001</v>
      </c>
      <c r="E28" s="75">
        <f t="shared" si="6"/>
        <v>4.1017000000000001</v>
      </c>
      <c r="F28" s="75">
        <f t="shared" si="7"/>
        <v>61.525500000000001</v>
      </c>
      <c r="G28" s="75"/>
      <c r="H28" s="75"/>
      <c r="I28" s="76"/>
      <c r="J28" s="77">
        <f t="shared" si="8"/>
        <v>30.85472</v>
      </c>
      <c r="K28" s="77">
        <f t="shared" si="9"/>
        <v>4628.2079999999996</v>
      </c>
    </row>
    <row r="29" spans="1:11" ht="15" customHeight="1" x14ac:dyDescent="0.25">
      <c r="A29" s="68">
        <f t="shared" si="10"/>
        <v>17</v>
      </c>
      <c r="B29" s="68">
        <f t="shared" si="11"/>
        <v>170</v>
      </c>
      <c r="C29" s="66">
        <f t="shared" si="4"/>
        <v>2.1738529411764707</v>
      </c>
      <c r="D29" s="66">
        <f t="shared" si="5"/>
        <v>1.6380000000000001</v>
      </c>
      <c r="E29" s="75">
        <f t="shared" si="6"/>
        <v>3.811852941176471</v>
      </c>
      <c r="F29" s="75">
        <f t="shared" si="7"/>
        <v>64.801500000000004</v>
      </c>
      <c r="G29" s="75"/>
      <c r="H29" s="75"/>
      <c r="I29" s="76"/>
      <c r="J29" s="77">
        <f t="shared" si="8"/>
        <v>30.564872941176471</v>
      </c>
      <c r="K29" s="77">
        <f t="shared" si="9"/>
        <v>5196.0284000000001</v>
      </c>
    </row>
    <row r="30" spans="1:11" ht="15" customHeight="1" x14ac:dyDescent="0.25">
      <c r="A30" s="68">
        <f>+A29+3</f>
        <v>20</v>
      </c>
      <c r="B30" s="68">
        <f t="shared" si="11"/>
        <v>200</v>
      </c>
      <c r="C30" s="66">
        <f t="shared" si="4"/>
        <v>1.8477750000000002</v>
      </c>
      <c r="D30" s="66">
        <f t="shared" si="5"/>
        <v>1.6380000000000001</v>
      </c>
      <c r="E30" s="75">
        <f t="shared" si="6"/>
        <v>3.4857750000000003</v>
      </c>
      <c r="F30" s="75">
        <f t="shared" si="7"/>
        <v>69.715500000000006</v>
      </c>
      <c r="G30" s="75"/>
      <c r="H30" s="75"/>
      <c r="I30" s="76"/>
      <c r="J30" s="77">
        <f t="shared" si="8"/>
        <v>30.238795</v>
      </c>
      <c r="K30" s="77">
        <f t="shared" si="9"/>
        <v>6047.759</v>
      </c>
    </row>
    <row r="31" spans="1:11" s="80" customFormat="1" ht="15" customHeight="1" x14ac:dyDescent="0.25">
      <c r="A31" s="325" t="s">
        <v>614</v>
      </c>
      <c r="B31" s="326"/>
      <c r="C31" s="326"/>
      <c r="D31" s="326"/>
      <c r="E31" s="326"/>
      <c r="F31" s="326"/>
      <c r="G31" s="326"/>
      <c r="H31" s="326"/>
      <c r="I31" s="326"/>
      <c r="J31" s="326"/>
      <c r="K31" s="326"/>
    </row>
    <row r="32" spans="1:11" s="80" customFormat="1" ht="15" customHeight="1" x14ac:dyDescent="0.25">
      <c r="A32" s="97">
        <f>+Dados!B5/2</f>
        <v>4.5</v>
      </c>
      <c r="B32" s="98">
        <f t="shared" ref="B32" si="12">+A32*$K$4</f>
        <v>45</v>
      </c>
      <c r="C32" s="51">
        <f>($B$8*0.9)/(B32*$D$8)+(($B$8*1.1)/(2*B32))*($E$8/100)+(($B$8*1.1)/(2*B32)*($F$8/100))</f>
        <v>8.2123333333333335</v>
      </c>
      <c r="D32" s="51">
        <f>$D$12*$E$12+$C$8*$G$12*$H$12+$B$16/$C$16+$B$8*($E$16/100)+$G$16*$H$16</f>
        <v>1.6380000000000001</v>
      </c>
      <c r="E32" s="53">
        <f>+C32+D32</f>
        <v>9.8503333333333334</v>
      </c>
      <c r="F32" s="53">
        <f>+A32*E32</f>
        <v>44.326500000000003</v>
      </c>
      <c r="G32" s="53"/>
      <c r="H32" s="53"/>
      <c r="I32" s="99"/>
      <c r="J32" s="100">
        <f>+E32+$I$21</f>
        <v>36.603353333333331</v>
      </c>
      <c r="K32" s="100">
        <f>+B32*J32</f>
        <v>1647.1508999999999</v>
      </c>
    </row>
    <row r="33" spans="1:14" x14ac:dyDescent="0.25">
      <c r="A33" s="3"/>
      <c r="B33" s="3"/>
      <c r="C33" s="3"/>
      <c r="D33" s="3"/>
      <c r="E33" s="3"/>
      <c r="F33" s="18"/>
      <c r="G33" s="3"/>
      <c r="H33" s="18"/>
      <c r="I33" s="18"/>
      <c r="J33" s="18"/>
      <c r="K33" s="18"/>
    </row>
    <row r="34" spans="1:14" x14ac:dyDescent="0.25">
      <c r="A34" s="3"/>
      <c r="B34" s="3"/>
      <c r="C34" s="3"/>
      <c r="D34" s="3"/>
      <c r="E34" s="3"/>
      <c r="F34" s="18"/>
      <c r="G34" s="3"/>
      <c r="H34" s="18"/>
      <c r="I34" s="18"/>
      <c r="J34" s="18"/>
      <c r="K34" s="18"/>
    </row>
    <row r="35" spans="1:14" x14ac:dyDescent="0.25">
      <c r="A35" s="3"/>
      <c r="B35" s="3"/>
      <c r="C35" s="3"/>
      <c r="D35" s="3"/>
      <c r="E35" s="3"/>
      <c r="F35" s="18"/>
      <c r="G35" s="3"/>
      <c r="H35" s="18"/>
      <c r="I35" s="18"/>
      <c r="J35" s="18"/>
      <c r="K35" s="18"/>
    </row>
    <row r="36" spans="1:14" x14ac:dyDescent="0.25">
      <c r="A36" s="3"/>
      <c r="B36" s="3"/>
      <c r="C36" s="3"/>
      <c r="D36" s="3"/>
      <c r="E36" s="3"/>
      <c r="F36" s="18"/>
      <c r="G36" s="3"/>
      <c r="H36" s="18"/>
      <c r="I36" s="18"/>
      <c r="J36" s="18"/>
      <c r="K36" s="18"/>
    </row>
    <row r="37" spans="1:14" x14ac:dyDescent="0.25">
      <c r="A37" s="3"/>
      <c r="B37" s="3"/>
      <c r="C37" s="3"/>
      <c r="D37" s="3"/>
      <c r="E37" s="3"/>
      <c r="F37" s="18"/>
      <c r="G37" s="3"/>
      <c r="H37" s="18"/>
      <c r="I37" s="18"/>
      <c r="J37" s="18"/>
      <c r="K37" s="18"/>
      <c r="L37" s="5"/>
    </row>
    <row r="38" spans="1:14" x14ac:dyDescent="0.25">
      <c r="A38" s="18"/>
      <c r="B38" s="4"/>
      <c r="C38" s="18"/>
      <c r="D38" s="18"/>
      <c r="E38" s="18"/>
      <c r="F38" s="18"/>
      <c r="G38" s="18"/>
      <c r="H38" s="18"/>
      <c r="I38" s="18"/>
      <c r="J38" s="18"/>
      <c r="K38" s="18"/>
    </row>
    <row r="39" spans="1:14" x14ac:dyDescent="0.25">
      <c r="A39" s="18"/>
      <c r="B39" s="5"/>
      <c r="C39" s="18"/>
      <c r="D39" s="5"/>
      <c r="E39" s="18"/>
      <c r="F39" s="18"/>
      <c r="G39" s="18"/>
      <c r="H39" s="18"/>
      <c r="I39" s="18"/>
      <c r="J39" s="18"/>
      <c r="K39" s="18"/>
    </row>
    <row r="40" spans="1:14" x14ac:dyDescent="0.25">
      <c r="A40" s="18"/>
      <c r="B40" s="4"/>
      <c r="C40" s="18"/>
      <c r="D40" s="18"/>
      <c r="E40" s="18"/>
      <c r="F40" s="18"/>
      <c r="G40" s="18"/>
      <c r="H40" s="18"/>
      <c r="I40" s="18"/>
      <c r="J40" s="18"/>
      <c r="K40" s="18"/>
    </row>
    <row r="41" spans="1:14" x14ac:dyDescent="0.25">
      <c r="A41" s="18"/>
      <c r="B41" s="4"/>
      <c r="C41" s="18"/>
      <c r="D41" s="18"/>
      <c r="E41" s="18"/>
      <c r="F41" s="18"/>
      <c r="G41" s="18"/>
      <c r="H41" s="18"/>
      <c r="I41" s="18"/>
      <c r="J41" s="18"/>
      <c r="K41" s="18"/>
    </row>
    <row r="42" spans="1:14" x14ac:dyDescent="0.25">
      <c r="A42" s="18"/>
      <c r="B42" s="4"/>
      <c r="C42" s="18"/>
      <c r="D42" s="18"/>
      <c r="E42" s="18"/>
      <c r="F42" s="18"/>
      <c r="G42" s="18"/>
      <c r="H42" s="18"/>
      <c r="I42" s="18"/>
      <c r="J42" s="18"/>
      <c r="K42" s="18"/>
    </row>
    <row r="43" spans="1:14" x14ac:dyDescent="0.25">
      <c r="A43" s="18"/>
      <c r="B43" s="4"/>
      <c r="C43" s="18"/>
      <c r="D43" s="18"/>
      <c r="E43" s="18"/>
      <c r="F43" s="18"/>
      <c r="G43" s="18"/>
      <c r="H43" s="18"/>
      <c r="I43" s="18"/>
      <c r="J43" s="18"/>
      <c r="K43" s="18"/>
    </row>
    <row r="44" spans="1:14" ht="13.8" x14ac:dyDescent="0.25">
      <c r="A44" s="18"/>
      <c r="B44" s="4"/>
      <c r="C44" s="18"/>
      <c r="D44" s="18"/>
      <c r="E44" s="18"/>
      <c r="F44" s="18"/>
      <c r="G44" s="18"/>
      <c r="H44" s="18"/>
      <c r="I44" s="18"/>
      <c r="J44" s="18"/>
      <c r="K44" s="18"/>
      <c r="L44" s="1"/>
      <c r="N44" s="6"/>
    </row>
    <row r="45" spans="1:14" ht="13.8" x14ac:dyDescent="0.25">
      <c r="A45" s="18"/>
      <c r="B45" s="4"/>
      <c r="C45" s="18"/>
      <c r="D45" s="18"/>
      <c r="E45" s="18"/>
      <c r="F45" s="18"/>
      <c r="G45" s="18"/>
      <c r="H45" s="18"/>
      <c r="I45" s="18"/>
      <c r="J45" s="18"/>
      <c r="K45" s="18"/>
      <c r="L45" s="1"/>
    </row>
    <row r="46" spans="1:14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4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5"/>
    </row>
    <row r="48" spans="1:14" x14ac:dyDescent="0.25">
      <c r="A48" s="18"/>
      <c r="B48" s="4"/>
      <c r="C48" s="18"/>
      <c r="D48" s="18"/>
      <c r="E48" s="18"/>
      <c r="F48" s="18"/>
      <c r="G48" s="18"/>
      <c r="H48" s="18"/>
      <c r="I48" s="18"/>
      <c r="J48" s="18"/>
      <c r="K48" s="18"/>
    </row>
    <row r="49" spans="1:14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4"/>
      <c r="M49" s="4"/>
      <c r="N49" s="4"/>
    </row>
    <row r="50" spans="1:14" x14ac:dyDescent="0.25">
      <c r="A50" s="18"/>
      <c r="B50" s="4"/>
      <c r="C50" s="18"/>
      <c r="D50" s="18"/>
      <c r="E50" s="18"/>
      <c r="F50" s="18"/>
      <c r="G50" s="18"/>
      <c r="H50" s="18"/>
      <c r="I50" s="18"/>
      <c r="J50" s="18"/>
      <c r="K50" s="18"/>
    </row>
    <row r="51" spans="1:14" x14ac:dyDescent="0.25">
      <c r="A51" s="18"/>
      <c r="B51" s="4"/>
      <c r="C51" s="4"/>
      <c r="D51" s="4"/>
      <c r="E51" s="4"/>
      <c r="F51" s="4"/>
      <c r="G51" s="18"/>
      <c r="H51" s="4"/>
      <c r="I51" s="18"/>
      <c r="J51" s="4"/>
      <c r="K51" s="18"/>
    </row>
    <row r="52" spans="1:14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</row>
    <row r="53" spans="1:14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</row>
    <row r="54" spans="1:14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</row>
    <row r="55" spans="1:14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</row>
    <row r="56" spans="1:14" x14ac:dyDescent="0.2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</row>
  </sheetData>
  <mergeCells count="6">
    <mergeCell ref="A31:K31"/>
    <mergeCell ref="B1:K1"/>
    <mergeCell ref="A4:A16"/>
    <mergeCell ref="G18:H18"/>
    <mergeCell ref="J18:K18"/>
    <mergeCell ref="C18:F18"/>
  </mergeCells>
  <hyperlinks>
    <hyperlink ref="A1" location="Indice!A1" display="Índice"/>
  </hyperlinks>
  <printOptions horizontalCentered="1" verticalCentered="1" gridLines="1"/>
  <pageMargins left="7.874015748031496E-2" right="7.874015748031496E-2" top="7.874015748031496E-2" bottom="7.874015748031496E-2" header="0.31496062992125984" footer="0.31496062992125984"/>
  <pageSetup fitToWidth="0" fitToHeight="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workbookViewId="0">
      <pane ySplit="1" topLeftCell="A2" activePane="bottomLeft" state="frozen"/>
      <selection pane="bottomLeft" activeCell="O20" sqref="O20"/>
    </sheetView>
  </sheetViews>
  <sheetFormatPr defaultRowHeight="13.2" x14ac:dyDescent="0.25"/>
  <cols>
    <col min="1" max="1" width="12.33203125" customWidth="1"/>
    <col min="2" max="9" width="8.6640625" customWidth="1"/>
    <col min="10" max="10" width="10.88671875" customWidth="1"/>
    <col min="11" max="11" width="8.6640625" customWidth="1"/>
  </cols>
  <sheetData>
    <row r="1" spans="1:11" ht="15.6" x14ac:dyDescent="0.3">
      <c r="A1" s="297" t="s">
        <v>869</v>
      </c>
      <c r="B1" s="327" t="s">
        <v>612</v>
      </c>
      <c r="C1" s="328"/>
      <c r="D1" s="328"/>
      <c r="E1" s="328"/>
      <c r="F1" s="328"/>
      <c r="G1" s="328"/>
      <c r="H1" s="328"/>
      <c r="I1" s="328"/>
      <c r="J1" s="328"/>
      <c r="K1" s="328"/>
    </row>
    <row r="2" spans="1:11" x14ac:dyDescent="0.25">
      <c r="A2" s="63"/>
      <c r="B2" s="64" t="s">
        <v>100</v>
      </c>
      <c r="C2" s="64" t="s">
        <v>149</v>
      </c>
      <c r="D2" s="64" t="s">
        <v>35</v>
      </c>
      <c r="E2" s="64" t="s">
        <v>89</v>
      </c>
      <c r="F2" s="64" t="s">
        <v>32</v>
      </c>
      <c r="G2" s="64" t="s">
        <v>577</v>
      </c>
      <c r="H2" s="64" t="s">
        <v>131</v>
      </c>
      <c r="I2" s="64" t="s">
        <v>578</v>
      </c>
      <c r="J2" s="64" t="s">
        <v>579</v>
      </c>
      <c r="K2" s="65" t="s">
        <v>580</v>
      </c>
    </row>
    <row r="3" spans="1:11" x14ac:dyDescent="0.25">
      <c r="A3" s="63"/>
      <c r="B3" s="64" t="s">
        <v>416</v>
      </c>
      <c r="C3" s="64" t="s">
        <v>417</v>
      </c>
      <c r="D3" s="64" t="s">
        <v>418</v>
      </c>
      <c r="E3" s="64" t="s">
        <v>212</v>
      </c>
      <c r="F3" s="64" t="s">
        <v>418</v>
      </c>
      <c r="G3" s="64" t="s">
        <v>581</v>
      </c>
      <c r="H3" s="64" t="s">
        <v>431</v>
      </c>
      <c r="I3" s="64" t="s">
        <v>419</v>
      </c>
      <c r="J3" s="64" t="s">
        <v>207</v>
      </c>
      <c r="K3" s="64" t="s">
        <v>207</v>
      </c>
    </row>
    <row r="4" spans="1:11" x14ac:dyDescent="0.25">
      <c r="A4" s="329" t="s">
        <v>834</v>
      </c>
      <c r="B4" s="66">
        <v>0</v>
      </c>
      <c r="C4" s="67">
        <v>0</v>
      </c>
      <c r="D4" s="66">
        <f t="shared" ref="D4" si="0">(B4*C4)/10</f>
        <v>0</v>
      </c>
      <c r="E4" s="68">
        <v>0</v>
      </c>
      <c r="F4" s="66">
        <f t="shared" ref="F4" si="1">(D4*E4)/100</f>
        <v>0</v>
      </c>
      <c r="G4" s="68">
        <v>1</v>
      </c>
      <c r="H4" s="66">
        <v>10</v>
      </c>
      <c r="I4" s="66">
        <v>1</v>
      </c>
      <c r="J4" s="66">
        <f t="shared" ref="J4" si="2">+H4*I4</f>
        <v>10</v>
      </c>
      <c r="K4" s="68">
        <f>+J4</f>
        <v>10</v>
      </c>
    </row>
    <row r="5" spans="1:11" x14ac:dyDescent="0.25">
      <c r="A5" s="320"/>
      <c r="B5" s="69"/>
      <c r="C5" s="66"/>
      <c r="D5" s="67"/>
      <c r="E5" s="66"/>
      <c r="F5" s="68"/>
      <c r="G5" s="66"/>
      <c r="H5" s="68"/>
      <c r="I5" s="66"/>
      <c r="J5" s="68"/>
      <c r="K5" s="68"/>
    </row>
    <row r="6" spans="1:11" x14ac:dyDescent="0.25">
      <c r="A6" s="320"/>
      <c r="B6" s="68" t="s">
        <v>420</v>
      </c>
      <c r="C6" s="68" t="s">
        <v>421</v>
      </c>
      <c r="D6" s="68" t="s">
        <v>210</v>
      </c>
      <c r="E6" s="68" t="s">
        <v>510</v>
      </c>
      <c r="F6" s="68" t="s">
        <v>511</v>
      </c>
      <c r="G6" s="48" t="s">
        <v>512</v>
      </c>
      <c r="H6" s="48" t="s">
        <v>498</v>
      </c>
      <c r="I6" s="48" t="s">
        <v>422</v>
      </c>
      <c r="J6" s="71" t="s">
        <v>92</v>
      </c>
      <c r="K6" s="71" t="s">
        <v>94</v>
      </c>
    </row>
    <row r="7" spans="1:11" x14ac:dyDescent="0.25">
      <c r="A7" s="320"/>
      <c r="B7" s="68" t="s">
        <v>205</v>
      </c>
      <c r="C7" s="68" t="s">
        <v>204</v>
      </c>
      <c r="D7" s="68" t="s">
        <v>206</v>
      </c>
      <c r="E7" s="68" t="s">
        <v>212</v>
      </c>
      <c r="F7" s="68" t="s">
        <v>212</v>
      </c>
      <c r="G7" s="48" t="s">
        <v>208</v>
      </c>
      <c r="H7" s="48" t="s">
        <v>208</v>
      </c>
      <c r="I7" s="48" t="s">
        <v>208</v>
      </c>
      <c r="J7" s="71" t="s">
        <v>208</v>
      </c>
      <c r="K7" s="71" t="s">
        <v>61</v>
      </c>
    </row>
    <row r="8" spans="1:11" x14ac:dyDescent="0.25">
      <c r="A8" s="320"/>
      <c r="B8" s="68">
        <f>+IHERA_Eq!F168</f>
        <v>4418</v>
      </c>
      <c r="C8" s="68">
        <v>0</v>
      </c>
      <c r="D8" s="68">
        <f>+IHERA_Eq!H247</f>
        <v>10</v>
      </c>
      <c r="E8" s="66">
        <f>+IHERA_Eq!L1</f>
        <v>3</v>
      </c>
      <c r="F8" s="66">
        <v>0</v>
      </c>
      <c r="G8" s="66">
        <f>(B8)/(K4*D8)</f>
        <v>44.18</v>
      </c>
      <c r="H8" s="66">
        <f>((B8)/(2*K4))*(E8/100)</f>
        <v>6.6269999999999998</v>
      </c>
      <c r="I8" s="66">
        <f>((B8)/(2*K4)*(F8/100))</f>
        <v>0</v>
      </c>
      <c r="J8" s="66">
        <f t="shared" ref="J8" si="3">G8+H8+I8</f>
        <v>50.807000000000002</v>
      </c>
      <c r="K8" s="66">
        <f>+J8*H4</f>
        <v>508.07000000000005</v>
      </c>
    </row>
    <row r="9" spans="1:11" x14ac:dyDescent="0.25">
      <c r="A9" s="320"/>
      <c r="B9" s="69"/>
      <c r="C9" s="66"/>
      <c r="D9" s="67"/>
      <c r="E9" s="66"/>
      <c r="F9" s="68"/>
      <c r="G9" s="66"/>
      <c r="H9" s="68"/>
      <c r="I9" s="66"/>
      <c r="J9" s="68"/>
      <c r="K9" s="68"/>
    </row>
    <row r="10" spans="1:11" x14ac:dyDescent="0.25">
      <c r="A10" s="320"/>
      <c r="B10" s="69" t="s">
        <v>582</v>
      </c>
      <c r="C10" s="68" t="s">
        <v>513</v>
      </c>
      <c r="D10" s="68" t="s">
        <v>423</v>
      </c>
      <c r="E10" s="68" t="s">
        <v>514</v>
      </c>
      <c r="F10" s="48" t="s">
        <v>583</v>
      </c>
      <c r="G10" s="68" t="s">
        <v>516</v>
      </c>
      <c r="H10" s="68" t="s">
        <v>517</v>
      </c>
      <c r="I10" s="48" t="s">
        <v>518</v>
      </c>
      <c r="J10" s="70"/>
      <c r="K10" s="70"/>
    </row>
    <row r="11" spans="1:11" x14ac:dyDescent="0.25">
      <c r="A11" s="320"/>
      <c r="B11" s="69" t="s">
        <v>204</v>
      </c>
      <c r="C11" s="68" t="s">
        <v>39</v>
      </c>
      <c r="D11" s="68" t="s">
        <v>424</v>
      </c>
      <c r="E11" s="68" t="s">
        <v>213</v>
      </c>
      <c r="F11" s="48" t="s">
        <v>208</v>
      </c>
      <c r="G11" s="68" t="s">
        <v>214</v>
      </c>
      <c r="H11" s="68" t="s">
        <v>213</v>
      </c>
      <c r="I11" s="48" t="s">
        <v>208</v>
      </c>
      <c r="J11" s="70"/>
      <c r="K11" s="70"/>
    </row>
    <row r="12" spans="1:11" x14ac:dyDescent="0.25">
      <c r="A12" s="320"/>
      <c r="B12" s="63">
        <v>0</v>
      </c>
      <c r="C12" s="66">
        <v>0</v>
      </c>
      <c r="D12" s="66">
        <f>+B12*C12</f>
        <v>0</v>
      </c>
      <c r="E12" s="66">
        <v>0</v>
      </c>
      <c r="F12" s="66">
        <f>+D12*E12</f>
        <v>0</v>
      </c>
      <c r="G12" s="72">
        <v>0</v>
      </c>
      <c r="H12" s="66">
        <v>0</v>
      </c>
      <c r="I12" s="66">
        <f>C8*G12*H12</f>
        <v>0</v>
      </c>
      <c r="J12" s="70"/>
      <c r="K12" s="70"/>
    </row>
    <row r="13" spans="1:11" x14ac:dyDescent="0.25">
      <c r="A13" s="320"/>
      <c r="B13" s="69"/>
      <c r="C13" s="66"/>
      <c r="D13" s="67"/>
      <c r="E13" s="66"/>
      <c r="F13" s="68"/>
      <c r="G13" s="66"/>
      <c r="H13" s="68"/>
      <c r="I13" s="66"/>
      <c r="J13" s="68"/>
      <c r="K13" s="68"/>
    </row>
    <row r="14" spans="1:11" x14ac:dyDescent="0.25">
      <c r="A14" s="320"/>
      <c r="B14" s="68" t="s">
        <v>519</v>
      </c>
      <c r="C14" s="68" t="s">
        <v>520</v>
      </c>
      <c r="D14" s="48" t="s">
        <v>521</v>
      </c>
      <c r="E14" s="68" t="s">
        <v>584</v>
      </c>
      <c r="F14" s="48" t="s">
        <v>584</v>
      </c>
      <c r="G14" s="68" t="s">
        <v>585</v>
      </c>
      <c r="H14" s="68" t="s">
        <v>586</v>
      </c>
      <c r="I14" s="48" t="s">
        <v>524</v>
      </c>
      <c r="J14" s="71" t="s">
        <v>96</v>
      </c>
      <c r="K14" s="71" t="s">
        <v>98</v>
      </c>
    </row>
    <row r="15" spans="1:11" x14ac:dyDescent="0.25">
      <c r="A15" s="320"/>
      <c r="B15" s="68" t="s">
        <v>205</v>
      </c>
      <c r="C15" s="68" t="s">
        <v>215</v>
      </c>
      <c r="D15" s="48" t="s">
        <v>208</v>
      </c>
      <c r="E15" s="68" t="s">
        <v>212</v>
      </c>
      <c r="F15" s="48" t="s">
        <v>208</v>
      </c>
      <c r="G15" s="68" t="s">
        <v>208</v>
      </c>
      <c r="H15" s="68" t="s">
        <v>587</v>
      </c>
      <c r="I15" s="48" t="s">
        <v>208</v>
      </c>
      <c r="J15" s="71" t="s">
        <v>208</v>
      </c>
      <c r="K15" s="71" t="s">
        <v>61</v>
      </c>
    </row>
    <row r="16" spans="1:11" x14ac:dyDescent="0.25">
      <c r="A16" s="320"/>
      <c r="B16" s="68">
        <v>250</v>
      </c>
      <c r="C16" s="68">
        <v>1000</v>
      </c>
      <c r="D16" s="66">
        <f>+B16/C16</f>
        <v>0.25</v>
      </c>
      <c r="E16" s="66">
        <f>+IHERA_Eq!J247</f>
        <v>0.04</v>
      </c>
      <c r="F16" s="66">
        <f>B8*(E16/100)</f>
        <v>1.7672000000000001</v>
      </c>
      <c r="G16" s="68">
        <v>0</v>
      </c>
      <c r="H16" s="68">
        <v>0</v>
      </c>
      <c r="I16" s="68">
        <f>+G16*H16</f>
        <v>0</v>
      </c>
      <c r="J16" s="66">
        <f>F12+I12+D16+F16+I16</f>
        <v>2.0171999999999999</v>
      </c>
      <c r="K16" s="66">
        <f>+J16*H4</f>
        <v>20.171999999999997</v>
      </c>
    </row>
    <row r="17" spans="1:11" x14ac:dyDescent="0.25">
      <c r="A17" s="63"/>
      <c r="B17" s="69"/>
      <c r="C17" s="66"/>
      <c r="D17" s="67"/>
      <c r="E17" s="66"/>
      <c r="F17" s="68"/>
      <c r="G17" s="66"/>
      <c r="H17" s="68"/>
      <c r="I17" s="66"/>
      <c r="J17" s="68"/>
      <c r="K17" s="68"/>
    </row>
    <row r="18" spans="1:11" x14ac:dyDescent="0.25">
      <c r="A18" s="63"/>
      <c r="B18" s="69"/>
      <c r="C18" s="333" t="s">
        <v>15</v>
      </c>
      <c r="D18" s="343"/>
      <c r="E18" s="343"/>
      <c r="F18" s="343"/>
      <c r="G18" s="339" t="s">
        <v>1046</v>
      </c>
      <c r="H18" s="339"/>
      <c r="I18" s="303">
        <f>+Trator60!A28</f>
        <v>150</v>
      </c>
      <c r="J18" s="332" t="s">
        <v>627</v>
      </c>
      <c r="K18" s="334"/>
    </row>
    <row r="19" spans="1:11" x14ac:dyDescent="0.25">
      <c r="A19" s="68" t="s">
        <v>28</v>
      </c>
      <c r="B19" s="68" t="s">
        <v>588</v>
      </c>
      <c r="C19" s="73" t="s">
        <v>619</v>
      </c>
      <c r="D19" s="73" t="s">
        <v>620</v>
      </c>
      <c r="E19" s="73" t="s">
        <v>621</v>
      </c>
      <c r="F19" s="68" t="s">
        <v>622</v>
      </c>
      <c r="G19" s="46" t="s">
        <v>92</v>
      </c>
      <c r="H19" s="46" t="s">
        <v>96</v>
      </c>
      <c r="I19" s="85" t="s">
        <v>216</v>
      </c>
      <c r="J19" s="74" t="s">
        <v>589</v>
      </c>
      <c r="K19" s="74" t="s">
        <v>623</v>
      </c>
    </row>
    <row r="20" spans="1:11" x14ac:dyDescent="0.25">
      <c r="A20" s="68" t="s">
        <v>591</v>
      </c>
      <c r="B20" s="68" t="s">
        <v>207</v>
      </c>
      <c r="C20" s="68" t="s">
        <v>205</v>
      </c>
      <c r="D20" s="68" t="s">
        <v>205</v>
      </c>
      <c r="E20" s="68" t="s">
        <v>205</v>
      </c>
      <c r="F20" s="68" t="s">
        <v>205</v>
      </c>
      <c r="G20" s="46" t="s">
        <v>208</v>
      </c>
      <c r="H20" s="46" t="s">
        <v>208</v>
      </c>
      <c r="I20" s="85" t="s">
        <v>208</v>
      </c>
      <c r="J20" s="74" t="s">
        <v>205</v>
      </c>
      <c r="K20" s="74" t="s">
        <v>205</v>
      </c>
    </row>
    <row r="21" spans="1:11" x14ac:dyDescent="0.25">
      <c r="A21" s="68">
        <v>1</v>
      </c>
      <c r="B21" s="68">
        <f>+K4</f>
        <v>10</v>
      </c>
      <c r="C21" s="66">
        <f>($B$8*0.9)/(B21*$D$8)+(($B$8*1.1)/(2*B21))*($E$8/100)+(($B$8*1.1)/(2*B21)*($F$8/100))</f>
        <v>47.051699999999997</v>
      </c>
      <c r="D21" s="66">
        <f>$D$12*$E$12+$C$8*$G$12*$H$12+$B$16/$C$16+$B$8*($E$16/100)+$G$16*$H$16</f>
        <v>2.0171999999999999</v>
      </c>
      <c r="E21" s="75">
        <f>+C21+D21</f>
        <v>49.068899999999999</v>
      </c>
      <c r="F21" s="75">
        <f>+A21*E21</f>
        <v>49.068899999999999</v>
      </c>
      <c r="G21" s="75">
        <f>+Trator60!B28</f>
        <v>24.838716666666667</v>
      </c>
      <c r="H21" s="75">
        <f>+Trator60!C28</f>
        <v>16.310123333333333</v>
      </c>
      <c r="I21" s="77">
        <f>+H21+G21</f>
        <v>41.14884</v>
      </c>
      <c r="J21" s="77">
        <f>+E21+$I$21</f>
        <v>90.217739999999992</v>
      </c>
      <c r="K21" s="77">
        <f>+B21*J21</f>
        <v>902.17739999999992</v>
      </c>
    </row>
    <row r="22" spans="1:11" x14ac:dyDescent="0.25">
      <c r="A22" s="68">
        <f>+A21+2</f>
        <v>3</v>
      </c>
      <c r="B22" s="68">
        <f>+A22*$K$4</f>
        <v>30</v>
      </c>
      <c r="C22" s="66">
        <f t="shared" ref="C22:C30" si="4">($B$8*0.9)/(B22*$D$8)+(($B$8*1.1)/(2*B22))*($E$8/100)+(($B$8*1.1)/(2*B22)*($F$8/100))</f>
        <v>15.683900000000001</v>
      </c>
      <c r="D22" s="66">
        <f t="shared" ref="D22:D30" si="5">$D$12*$E$12+$C$8*$G$12*$H$12+$B$16/$C$16+$B$8*($E$16/100)+$G$16*$H$16</f>
        <v>2.0171999999999999</v>
      </c>
      <c r="E22" s="75">
        <f t="shared" ref="E22:E30" si="6">+C22+D22</f>
        <v>17.7011</v>
      </c>
      <c r="F22" s="75">
        <f t="shared" ref="F22:F30" si="7">+A22*E22</f>
        <v>53.103300000000004</v>
      </c>
      <c r="G22" s="75"/>
      <c r="H22" s="75"/>
      <c r="I22" s="76"/>
      <c r="J22" s="77">
        <f t="shared" ref="J22:J30" si="8">+E22+$I$21</f>
        <v>58.849940000000004</v>
      </c>
      <c r="K22" s="77">
        <f t="shared" ref="K22:K30" si="9">+B22*J22</f>
        <v>1765.4982</v>
      </c>
    </row>
    <row r="23" spans="1:11" x14ac:dyDescent="0.25">
      <c r="A23" s="68">
        <f t="shared" ref="A23:A29" si="10">+A22+2</f>
        <v>5</v>
      </c>
      <c r="B23" s="68">
        <f t="shared" ref="B23:B30" si="11">+A23*$K$4</f>
        <v>50</v>
      </c>
      <c r="C23" s="66">
        <f t="shared" si="4"/>
        <v>9.4103400000000015</v>
      </c>
      <c r="D23" s="66">
        <f t="shared" si="5"/>
        <v>2.0171999999999999</v>
      </c>
      <c r="E23" s="75">
        <f t="shared" si="6"/>
        <v>11.42754</v>
      </c>
      <c r="F23" s="75">
        <f t="shared" si="7"/>
        <v>57.137700000000002</v>
      </c>
      <c r="G23" s="75"/>
      <c r="H23" s="75"/>
      <c r="I23" s="76"/>
      <c r="J23" s="77">
        <f t="shared" si="8"/>
        <v>52.57638</v>
      </c>
      <c r="K23" s="77">
        <f t="shared" si="9"/>
        <v>2628.819</v>
      </c>
    </row>
    <row r="24" spans="1:11" x14ac:dyDescent="0.25">
      <c r="A24" s="68">
        <f t="shared" si="10"/>
        <v>7</v>
      </c>
      <c r="B24" s="68">
        <f t="shared" si="11"/>
        <v>70</v>
      </c>
      <c r="C24" s="66">
        <f t="shared" si="4"/>
        <v>6.7216714285714287</v>
      </c>
      <c r="D24" s="66">
        <f t="shared" si="5"/>
        <v>2.0171999999999999</v>
      </c>
      <c r="E24" s="75">
        <f t="shared" si="6"/>
        <v>8.7388714285714286</v>
      </c>
      <c r="F24" s="75">
        <f t="shared" si="7"/>
        <v>61.1721</v>
      </c>
      <c r="G24" s="75"/>
      <c r="H24" s="75"/>
      <c r="I24" s="76"/>
      <c r="J24" s="77">
        <f t="shared" si="8"/>
        <v>49.887711428571428</v>
      </c>
      <c r="K24" s="77">
        <f t="shared" si="9"/>
        <v>3492.1397999999999</v>
      </c>
    </row>
    <row r="25" spans="1:11" x14ac:dyDescent="0.25">
      <c r="A25" s="68">
        <f t="shared" si="10"/>
        <v>9</v>
      </c>
      <c r="B25" s="68">
        <f t="shared" si="11"/>
        <v>90</v>
      </c>
      <c r="C25" s="66">
        <f t="shared" si="4"/>
        <v>5.2279666666666671</v>
      </c>
      <c r="D25" s="66">
        <f t="shared" si="5"/>
        <v>2.0171999999999999</v>
      </c>
      <c r="E25" s="75">
        <f t="shared" si="6"/>
        <v>7.245166666666667</v>
      </c>
      <c r="F25" s="75">
        <f t="shared" si="7"/>
        <v>65.206500000000005</v>
      </c>
      <c r="G25" s="75"/>
      <c r="H25" s="75"/>
      <c r="I25" s="76"/>
      <c r="J25" s="77">
        <f t="shared" si="8"/>
        <v>48.39400666666667</v>
      </c>
      <c r="K25" s="77">
        <f t="shared" si="9"/>
        <v>4355.4606000000003</v>
      </c>
    </row>
    <row r="26" spans="1:11" x14ac:dyDescent="0.25">
      <c r="A26" s="68">
        <f t="shared" si="10"/>
        <v>11</v>
      </c>
      <c r="B26" s="68">
        <f t="shared" si="11"/>
        <v>110</v>
      </c>
      <c r="C26" s="66">
        <f t="shared" si="4"/>
        <v>4.2774272727272731</v>
      </c>
      <c r="D26" s="66">
        <f t="shared" si="5"/>
        <v>2.0171999999999999</v>
      </c>
      <c r="E26" s="75">
        <f t="shared" si="6"/>
        <v>6.294627272727273</v>
      </c>
      <c r="F26" s="75">
        <f t="shared" si="7"/>
        <v>69.240899999999996</v>
      </c>
      <c r="G26" s="75"/>
      <c r="H26" s="75"/>
      <c r="I26" s="76"/>
      <c r="J26" s="77">
        <f t="shared" si="8"/>
        <v>47.443467272727275</v>
      </c>
      <c r="K26" s="77">
        <f t="shared" si="9"/>
        <v>5218.7813999999998</v>
      </c>
    </row>
    <row r="27" spans="1:11" x14ac:dyDescent="0.25">
      <c r="A27" s="68">
        <f t="shared" si="10"/>
        <v>13</v>
      </c>
      <c r="B27" s="68">
        <f t="shared" si="11"/>
        <v>130</v>
      </c>
      <c r="C27" s="66">
        <f t="shared" si="4"/>
        <v>3.619361538461539</v>
      </c>
      <c r="D27" s="66">
        <f t="shared" si="5"/>
        <v>2.0171999999999999</v>
      </c>
      <c r="E27" s="75">
        <f t="shared" si="6"/>
        <v>5.6365615384615388</v>
      </c>
      <c r="F27" s="75">
        <f t="shared" si="7"/>
        <v>73.275300000000001</v>
      </c>
      <c r="G27" s="75"/>
      <c r="H27" s="75"/>
      <c r="I27" s="76"/>
      <c r="J27" s="77">
        <f t="shared" si="8"/>
        <v>46.785401538461542</v>
      </c>
      <c r="K27" s="77">
        <f t="shared" si="9"/>
        <v>6082.1022000000003</v>
      </c>
    </row>
    <row r="28" spans="1:11" x14ac:dyDescent="0.25">
      <c r="A28" s="68">
        <f t="shared" si="10"/>
        <v>15</v>
      </c>
      <c r="B28" s="68">
        <f t="shared" si="11"/>
        <v>150</v>
      </c>
      <c r="C28" s="66">
        <f t="shared" si="4"/>
        <v>3.1367800000000003</v>
      </c>
      <c r="D28" s="66">
        <f t="shared" si="5"/>
        <v>2.0171999999999999</v>
      </c>
      <c r="E28" s="75">
        <f t="shared" si="6"/>
        <v>5.1539800000000007</v>
      </c>
      <c r="F28" s="75">
        <f t="shared" si="7"/>
        <v>77.309700000000007</v>
      </c>
      <c r="G28" s="75"/>
      <c r="H28" s="75"/>
      <c r="I28" s="76"/>
      <c r="J28" s="77">
        <f t="shared" si="8"/>
        <v>46.302819999999997</v>
      </c>
      <c r="K28" s="77">
        <f t="shared" si="9"/>
        <v>6945.4229999999998</v>
      </c>
    </row>
    <row r="29" spans="1:11" x14ac:dyDescent="0.25">
      <c r="A29" s="68">
        <f t="shared" si="10"/>
        <v>17</v>
      </c>
      <c r="B29" s="68">
        <f t="shared" si="11"/>
        <v>170</v>
      </c>
      <c r="C29" s="66">
        <f t="shared" si="4"/>
        <v>2.7677470588235296</v>
      </c>
      <c r="D29" s="66">
        <f t="shared" si="5"/>
        <v>2.0171999999999999</v>
      </c>
      <c r="E29" s="75">
        <f t="shared" si="6"/>
        <v>4.7849470588235299</v>
      </c>
      <c r="F29" s="75">
        <f t="shared" si="7"/>
        <v>81.344100000000012</v>
      </c>
      <c r="G29" s="75"/>
      <c r="H29" s="75"/>
      <c r="I29" s="76"/>
      <c r="J29" s="77">
        <f t="shared" si="8"/>
        <v>45.933787058823526</v>
      </c>
      <c r="K29" s="77">
        <f t="shared" si="9"/>
        <v>7808.7437999999993</v>
      </c>
    </row>
    <row r="30" spans="1:11" x14ac:dyDescent="0.25">
      <c r="A30" s="68">
        <f>+A29+3</f>
        <v>20</v>
      </c>
      <c r="B30" s="68">
        <f t="shared" si="11"/>
        <v>200</v>
      </c>
      <c r="C30" s="66">
        <f t="shared" si="4"/>
        <v>2.3525850000000004</v>
      </c>
      <c r="D30" s="66">
        <f t="shared" si="5"/>
        <v>2.0171999999999999</v>
      </c>
      <c r="E30" s="75">
        <f t="shared" si="6"/>
        <v>4.3697850000000003</v>
      </c>
      <c r="F30" s="75">
        <f t="shared" si="7"/>
        <v>87.395700000000005</v>
      </c>
      <c r="G30" s="75"/>
      <c r="H30" s="75"/>
      <c r="I30" s="76"/>
      <c r="J30" s="77">
        <f t="shared" si="8"/>
        <v>45.518625</v>
      </c>
      <c r="K30" s="77">
        <f t="shared" si="9"/>
        <v>9103.7250000000004</v>
      </c>
    </row>
    <row r="31" spans="1:11" x14ac:dyDescent="0.25">
      <c r="A31" s="325" t="s">
        <v>614</v>
      </c>
      <c r="B31" s="326"/>
      <c r="C31" s="326"/>
      <c r="D31" s="326"/>
      <c r="E31" s="326"/>
      <c r="F31" s="326"/>
      <c r="G31" s="326"/>
      <c r="H31" s="326"/>
      <c r="I31" s="326"/>
      <c r="J31" s="326"/>
      <c r="K31" s="326"/>
    </row>
    <row r="32" spans="1:11" x14ac:dyDescent="0.25">
      <c r="A32" s="97">
        <f>+Dados!B5/2</f>
        <v>4.5</v>
      </c>
      <c r="B32" s="195">
        <f t="shared" ref="B32" si="12">+A32*$K$4</f>
        <v>45</v>
      </c>
      <c r="C32" s="51">
        <f>($B$8*0.9)/(B32*$D$8)+(($B$8*1.1)/(2*B32))*($E$8/100)+(($B$8*1.1)/(2*B32)*($F$8/100))</f>
        <v>10.455933333333334</v>
      </c>
      <c r="D32" s="51">
        <f>$D$12*$E$12+$C$8*$G$12*$H$12+$B$16/$C$16+$B$8*($E$16/100)+$G$16*$H$16</f>
        <v>2.0171999999999999</v>
      </c>
      <c r="E32" s="53">
        <f>+C32+D32</f>
        <v>12.473133333333333</v>
      </c>
      <c r="F32" s="53">
        <f>+A32*E32</f>
        <v>56.129100000000001</v>
      </c>
      <c r="G32" s="53"/>
      <c r="H32" s="53"/>
      <c r="I32" s="99"/>
      <c r="J32" s="100">
        <f>+E32+$I$21</f>
        <v>53.621973333333329</v>
      </c>
      <c r="K32" s="100">
        <f>+B32*J32</f>
        <v>2412.9887999999996</v>
      </c>
    </row>
    <row r="33" spans="1:11" x14ac:dyDescent="0.25">
      <c r="A33" s="3"/>
      <c r="B33" s="3"/>
      <c r="C33" s="3"/>
      <c r="D33" s="3"/>
      <c r="E33" s="3"/>
      <c r="F33" s="196"/>
      <c r="G33" s="3"/>
      <c r="H33" s="196"/>
      <c r="I33" s="196"/>
      <c r="J33" s="196"/>
      <c r="K33" s="196"/>
    </row>
    <row r="34" spans="1:11" x14ac:dyDescent="0.25">
      <c r="A34" s="3"/>
      <c r="B34" s="3"/>
      <c r="C34" s="3"/>
      <c r="D34" s="3"/>
      <c r="E34" s="3"/>
      <c r="F34" s="196"/>
      <c r="G34" s="3"/>
      <c r="H34" s="196"/>
      <c r="I34" s="196"/>
      <c r="J34" s="196"/>
      <c r="K34" s="196"/>
    </row>
    <row r="35" spans="1:11" x14ac:dyDescent="0.25">
      <c r="A35" s="3"/>
      <c r="B35" s="3"/>
      <c r="C35" s="3"/>
      <c r="D35" s="3"/>
      <c r="E35" s="3"/>
      <c r="F35" s="196"/>
      <c r="G35" s="3"/>
      <c r="H35" s="196"/>
      <c r="I35" s="196"/>
      <c r="J35" s="196"/>
      <c r="K35" s="196"/>
    </row>
    <row r="36" spans="1:11" x14ac:dyDescent="0.25">
      <c r="A36" s="3"/>
      <c r="B36" s="3"/>
      <c r="C36" s="3"/>
      <c r="D36" s="3"/>
      <c r="E36" s="3"/>
      <c r="F36" s="196"/>
      <c r="G36" s="3"/>
      <c r="H36" s="196"/>
      <c r="I36" s="196"/>
      <c r="J36" s="196"/>
      <c r="K36" s="196"/>
    </row>
    <row r="37" spans="1:11" x14ac:dyDescent="0.25">
      <c r="A37" s="3"/>
      <c r="B37" s="3"/>
      <c r="C37" s="3"/>
      <c r="D37" s="3"/>
      <c r="E37" s="3"/>
      <c r="F37" s="196"/>
      <c r="G37" s="3"/>
      <c r="H37" s="196"/>
      <c r="I37" s="196"/>
      <c r="J37" s="196"/>
      <c r="K37" s="196"/>
    </row>
    <row r="38" spans="1:11" x14ac:dyDescent="0.25">
      <c r="A38" s="196"/>
      <c r="B38" s="4"/>
      <c r="C38" s="196"/>
      <c r="D38" s="196"/>
      <c r="E38" s="196"/>
      <c r="F38" s="196"/>
      <c r="G38" s="196"/>
      <c r="H38" s="196"/>
      <c r="I38" s="196"/>
      <c r="J38" s="196"/>
      <c r="K38" s="196"/>
    </row>
    <row r="39" spans="1:11" x14ac:dyDescent="0.25">
      <c r="A39" s="196"/>
      <c r="B39" s="5"/>
      <c r="C39" s="196"/>
      <c r="D39" s="5"/>
      <c r="E39" s="196"/>
      <c r="F39" s="196"/>
      <c r="G39" s="196"/>
      <c r="H39" s="196"/>
      <c r="I39" s="196"/>
      <c r="J39" s="196"/>
      <c r="K39" s="196"/>
    </row>
    <row r="40" spans="1:11" x14ac:dyDescent="0.25">
      <c r="A40" s="196"/>
      <c r="B40" s="4"/>
      <c r="C40" s="196"/>
      <c r="D40" s="196"/>
      <c r="E40" s="196"/>
      <c r="F40" s="196"/>
      <c r="G40" s="196"/>
      <c r="H40" s="196"/>
      <c r="I40" s="196"/>
      <c r="J40" s="196"/>
      <c r="K40" s="196"/>
    </row>
    <row r="41" spans="1:11" x14ac:dyDescent="0.25">
      <c r="A41" s="196"/>
      <c r="B41" s="4"/>
      <c r="C41" s="196"/>
      <c r="D41" s="196"/>
      <c r="E41" s="196"/>
      <c r="F41" s="196"/>
      <c r="G41" s="196"/>
      <c r="H41" s="196"/>
      <c r="I41" s="196"/>
      <c r="J41" s="196"/>
      <c r="K41" s="196"/>
    </row>
    <row r="42" spans="1:11" x14ac:dyDescent="0.25">
      <c r="A42" s="196"/>
      <c r="B42" s="4"/>
      <c r="C42" s="196"/>
      <c r="D42" s="196"/>
      <c r="E42" s="196"/>
      <c r="F42" s="196"/>
      <c r="G42" s="196"/>
      <c r="H42" s="196"/>
      <c r="I42" s="196"/>
      <c r="J42" s="196"/>
      <c r="K42" s="196"/>
    </row>
    <row r="43" spans="1:11" x14ac:dyDescent="0.25">
      <c r="A43" s="196"/>
      <c r="B43" s="4"/>
      <c r="C43" s="196"/>
      <c r="D43" s="196"/>
      <c r="E43" s="196"/>
      <c r="F43" s="196"/>
      <c r="G43" s="196"/>
      <c r="H43" s="196"/>
      <c r="I43" s="196"/>
      <c r="J43" s="196"/>
      <c r="K43" s="196"/>
    </row>
    <row r="44" spans="1:11" x14ac:dyDescent="0.25">
      <c r="A44" s="196"/>
      <c r="B44" s="4"/>
      <c r="C44" s="196"/>
      <c r="D44" s="196"/>
      <c r="E44" s="196"/>
      <c r="F44" s="196"/>
      <c r="G44" s="196"/>
      <c r="H44" s="196"/>
      <c r="I44" s="196"/>
      <c r="J44" s="196"/>
      <c r="K44" s="196"/>
    </row>
    <row r="45" spans="1:11" x14ac:dyDescent="0.25">
      <c r="A45" s="196"/>
      <c r="B45" s="4"/>
      <c r="C45" s="196"/>
      <c r="D45" s="196"/>
      <c r="E45" s="196"/>
      <c r="F45" s="196"/>
      <c r="G45" s="196"/>
      <c r="H45" s="196"/>
      <c r="I45" s="196"/>
      <c r="J45" s="196"/>
      <c r="K45" s="196"/>
    </row>
    <row r="46" spans="1:11" x14ac:dyDescent="0.25">
      <c r="A46" s="196"/>
      <c r="B46" s="196"/>
      <c r="C46" s="196"/>
      <c r="D46" s="196"/>
      <c r="E46" s="196"/>
      <c r="F46" s="196"/>
      <c r="G46" s="196"/>
      <c r="H46" s="196"/>
      <c r="I46" s="196"/>
      <c r="J46" s="196"/>
      <c r="K46" s="196"/>
    </row>
    <row r="47" spans="1:11" x14ac:dyDescent="0.25">
      <c r="A47" s="196"/>
      <c r="B47" s="196"/>
      <c r="C47" s="196"/>
      <c r="D47" s="196"/>
      <c r="E47" s="196"/>
      <c r="F47" s="196"/>
      <c r="G47" s="196"/>
      <c r="H47" s="196"/>
      <c r="I47" s="196"/>
      <c r="J47" s="196"/>
      <c r="K47" s="196"/>
    </row>
    <row r="48" spans="1:11" x14ac:dyDescent="0.25">
      <c r="A48" s="196"/>
      <c r="B48" s="4"/>
      <c r="C48" s="196"/>
      <c r="D48" s="196"/>
      <c r="E48" s="196"/>
      <c r="F48" s="196"/>
      <c r="G48" s="196"/>
      <c r="H48" s="196"/>
      <c r="I48" s="196"/>
      <c r="J48" s="196"/>
      <c r="K48" s="196"/>
    </row>
    <row r="49" spans="1:11" x14ac:dyDescent="0.25">
      <c r="A49" s="196"/>
      <c r="B49" s="196"/>
      <c r="C49" s="196"/>
      <c r="D49" s="196"/>
      <c r="E49" s="196"/>
      <c r="F49" s="196"/>
      <c r="G49" s="196"/>
      <c r="H49" s="196"/>
      <c r="I49" s="196"/>
      <c r="J49" s="196"/>
      <c r="K49" s="196"/>
    </row>
    <row r="50" spans="1:11" x14ac:dyDescent="0.25">
      <c r="A50" s="196"/>
      <c r="B50" s="4"/>
      <c r="C50" s="196"/>
      <c r="D50" s="196"/>
      <c r="E50" s="196"/>
      <c r="F50" s="196"/>
      <c r="G50" s="196"/>
      <c r="H50" s="196"/>
      <c r="I50" s="196"/>
      <c r="J50" s="196"/>
      <c r="K50" s="196"/>
    </row>
    <row r="51" spans="1:11" x14ac:dyDescent="0.25">
      <c r="A51" s="196"/>
      <c r="B51" s="4"/>
      <c r="C51" s="4"/>
      <c r="D51" s="4"/>
      <c r="E51" s="4"/>
      <c r="F51" s="4"/>
      <c r="G51" s="196"/>
      <c r="H51" s="4"/>
      <c r="I51" s="196"/>
      <c r="J51" s="4"/>
      <c r="K51" s="196"/>
    </row>
    <row r="52" spans="1:11" x14ac:dyDescent="0.25">
      <c r="A52" s="196"/>
      <c r="B52" s="196"/>
      <c r="C52" s="196"/>
      <c r="D52" s="196"/>
      <c r="E52" s="196"/>
      <c r="F52" s="196"/>
      <c r="G52" s="196"/>
      <c r="H52" s="196"/>
      <c r="I52" s="196"/>
      <c r="J52" s="196"/>
      <c r="K52" s="196"/>
    </row>
    <row r="53" spans="1:11" x14ac:dyDescent="0.25">
      <c r="A53" s="196"/>
      <c r="B53" s="196"/>
      <c r="C53" s="196"/>
      <c r="D53" s="196"/>
      <c r="E53" s="196"/>
      <c r="F53" s="196"/>
      <c r="G53" s="196"/>
      <c r="H53" s="196"/>
      <c r="I53" s="196"/>
      <c r="J53" s="196"/>
      <c r="K53" s="196"/>
    </row>
    <row r="54" spans="1:11" x14ac:dyDescent="0.25">
      <c r="A54" s="196"/>
      <c r="B54" s="196"/>
      <c r="C54" s="196"/>
      <c r="D54" s="196"/>
      <c r="E54" s="196"/>
      <c r="F54" s="196"/>
      <c r="G54" s="196"/>
      <c r="H54" s="196"/>
      <c r="I54" s="196"/>
      <c r="J54" s="196"/>
      <c r="K54" s="196"/>
    </row>
    <row r="55" spans="1:11" x14ac:dyDescent="0.25">
      <c r="A55" s="196"/>
      <c r="B55" s="196"/>
      <c r="C55" s="196"/>
      <c r="D55" s="196"/>
      <c r="E55" s="196"/>
      <c r="F55" s="196"/>
      <c r="G55" s="196"/>
      <c r="H55" s="196"/>
      <c r="I55" s="196"/>
      <c r="J55" s="196"/>
      <c r="K55" s="196"/>
    </row>
    <row r="56" spans="1:11" x14ac:dyDescent="0.25">
      <c r="A56" s="196"/>
      <c r="B56" s="196"/>
      <c r="C56" s="196"/>
      <c r="D56" s="196"/>
      <c r="E56" s="196"/>
      <c r="F56" s="196"/>
      <c r="G56" s="196"/>
      <c r="H56" s="196"/>
      <c r="I56" s="196"/>
      <c r="J56" s="196"/>
      <c r="K56" s="196"/>
    </row>
    <row r="57" spans="1:11" x14ac:dyDescent="0.25">
      <c r="A57" s="196"/>
      <c r="B57" s="196"/>
      <c r="C57" s="196"/>
      <c r="D57" s="196"/>
      <c r="E57" s="196"/>
      <c r="F57" s="196"/>
      <c r="G57" s="196"/>
      <c r="H57" s="196"/>
      <c r="I57" s="196"/>
      <c r="J57" s="196"/>
      <c r="K57" s="196"/>
    </row>
    <row r="58" spans="1:11" x14ac:dyDescent="0.25">
      <c r="A58" s="196"/>
      <c r="B58" s="196"/>
      <c r="C58" s="196"/>
      <c r="D58" s="196"/>
      <c r="E58" s="196"/>
      <c r="F58" s="196"/>
      <c r="G58" s="196"/>
      <c r="H58" s="196"/>
      <c r="I58" s="196"/>
      <c r="J58" s="196"/>
      <c r="K58" s="196"/>
    </row>
    <row r="59" spans="1:11" x14ac:dyDescent="0.25">
      <c r="A59" s="196"/>
      <c r="B59" s="196"/>
      <c r="C59" s="196"/>
      <c r="D59" s="196"/>
      <c r="E59" s="196"/>
      <c r="F59" s="196"/>
      <c r="G59" s="196"/>
      <c r="H59" s="196"/>
      <c r="I59" s="196"/>
      <c r="J59" s="196"/>
      <c r="K59" s="196"/>
    </row>
  </sheetData>
  <mergeCells count="6">
    <mergeCell ref="A31:K31"/>
    <mergeCell ref="B1:K1"/>
    <mergeCell ref="A4:A16"/>
    <mergeCell ref="C18:F18"/>
    <mergeCell ref="G18:H18"/>
    <mergeCell ref="J18:K18"/>
  </mergeCells>
  <hyperlinks>
    <hyperlink ref="A1" location="Siglas!A1" display="Índice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D14" sqref="D14"/>
    </sheetView>
  </sheetViews>
  <sheetFormatPr defaultRowHeight="13.2" x14ac:dyDescent="0.25"/>
  <cols>
    <col min="1" max="1" width="27.44140625" customWidth="1"/>
    <col min="2" max="2" width="16.6640625" customWidth="1"/>
    <col min="3" max="3" width="21.109375" customWidth="1"/>
    <col min="4" max="4" width="14.33203125" customWidth="1"/>
  </cols>
  <sheetData>
    <row r="1" spans="1:4" ht="30" customHeight="1" x14ac:dyDescent="0.25">
      <c r="A1" s="226" t="s">
        <v>869</v>
      </c>
      <c r="B1" s="334" t="s">
        <v>870</v>
      </c>
      <c r="C1" s="321"/>
      <c r="D1" s="223"/>
    </row>
    <row r="2" spans="1:4" ht="30" customHeight="1" x14ac:dyDescent="0.25">
      <c r="A2" s="156"/>
      <c r="B2" s="227" t="s">
        <v>871</v>
      </c>
      <c r="C2" s="227" t="s">
        <v>872</v>
      </c>
      <c r="D2" s="227" t="s">
        <v>873</v>
      </c>
    </row>
    <row r="3" spans="1:4" ht="30" customHeight="1" x14ac:dyDescent="0.25">
      <c r="A3" s="147" t="s">
        <v>5</v>
      </c>
      <c r="B3" s="156">
        <f>+Potencias!J188</f>
        <v>53</v>
      </c>
      <c r="C3" s="301">
        <v>60</v>
      </c>
      <c r="D3" s="101">
        <f>+PrePoda!B32</f>
        <v>18.75</v>
      </c>
    </row>
    <row r="4" spans="1:4" ht="30" customHeight="1" x14ac:dyDescent="0.25">
      <c r="A4" s="147" t="s">
        <v>874</v>
      </c>
      <c r="B4" s="156">
        <f>+Potencias!J174</f>
        <v>50</v>
      </c>
      <c r="C4" s="301">
        <v>55</v>
      </c>
      <c r="D4" s="101">
        <f>+TritSar!B32</f>
        <v>18.75</v>
      </c>
    </row>
    <row r="5" spans="1:4" ht="30" customHeight="1" x14ac:dyDescent="0.25">
      <c r="A5" s="203" t="s">
        <v>670</v>
      </c>
      <c r="B5" s="156">
        <f>+Potencias!J83</f>
        <v>45</v>
      </c>
      <c r="C5" s="156">
        <v>60</v>
      </c>
      <c r="D5" s="101">
        <f>+LocAdubo!B32</f>
        <v>32.142857142857139</v>
      </c>
    </row>
    <row r="6" spans="1:4" ht="30" customHeight="1" x14ac:dyDescent="0.25">
      <c r="A6" s="203" t="s">
        <v>9</v>
      </c>
      <c r="B6" s="156">
        <f>+Potencias!J17</f>
        <v>37.777777777777779</v>
      </c>
      <c r="C6" s="156">
        <v>45</v>
      </c>
      <c r="D6" s="101">
        <f>+Escar!B32</f>
        <v>48</v>
      </c>
    </row>
    <row r="7" spans="1:4" ht="30" customHeight="1" x14ac:dyDescent="0.25">
      <c r="A7" s="204" t="s">
        <v>11</v>
      </c>
      <c r="B7" s="156">
        <f>+Potencias!J109</f>
        <v>30</v>
      </c>
      <c r="C7" s="301">
        <v>35</v>
      </c>
      <c r="D7" s="101">
        <f>+Pulv!B32</f>
        <v>112.5</v>
      </c>
    </row>
    <row r="8" spans="1:4" ht="30" customHeight="1" x14ac:dyDescent="0.25">
      <c r="A8" s="205" t="s">
        <v>832</v>
      </c>
      <c r="B8" s="156">
        <f>+Potencias!J189</f>
        <v>45</v>
      </c>
      <c r="C8" s="156">
        <v>40</v>
      </c>
      <c r="D8" s="101">
        <f>+Despont!B32</f>
        <v>37.5</v>
      </c>
    </row>
    <row r="9" spans="1:4" ht="30" customHeight="1" x14ac:dyDescent="0.25">
      <c r="A9" s="204" t="s">
        <v>875</v>
      </c>
      <c r="B9" s="156">
        <f>+Potencias!J177</f>
        <v>45</v>
      </c>
      <c r="C9" s="156">
        <v>53</v>
      </c>
      <c r="D9" s="101">
        <f>+Reboq3.5!B32</f>
        <v>45</v>
      </c>
    </row>
    <row r="10" spans="1:4" ht="30" customHeight="1" x14ac:dyDescent="0.25">
      <c r="A10" s="204" t="s">
        <v>847</v>
      </c>
      <c r="B10" s="156">
        <f>+Potencias!J178</f>
        <v>53</v>
      </c>
      <c r="C10" s="156">
        <v>53</v>
      </c>
      <c r="D10" s="101">
        <f>+Reboq4.5!B32</f>
        <v>45</v>
      </c>
    </row>
    <row r="11" spans="1:4" ht="30" customHeight="1" x14ac:dyDescent="0.25">
      <c r="A11" s="300" t="s">
        <v>1037</v>
      </c>
      <c r="B11" s="156"/>
      <c r="C11" s="156"/>
      <c r="D11" s="101">
        <f>SUM(D3:D10)</f>
        <v>357.64285714285711</v>
      </c>
    </row>
    <row r="12" spans="1:4" ht="30" customHeight="1" x14ac:dyDescent="0.25">
      <c r="A12" s="228" t="s">
        <v>1038</v>
      </c>
      <c r="B12" s="228"/>
      <c r="C12" s="229">
        <f>MAX(C3:C11)</f>
        <v>60</v>
      </c>
      <c r="D12" s="230">
        <f>+Trator60!A28</f>
        <v>150</v>
      </c>
    </row>
    <row r="13" spans="1:4" ht="30" customHeight="1" x14ac:dyDescent="0.25">
      <c r="A13" s="228" t="s">
        <v>1039</v>
      </c>
      <c r="B13" s="228"/>
      <c r="C13" s="231">
        <v>55</v>
      </c>
      <c r="D13" s="230">
        <f>+Trator53!A28</f>
        <v>300</v>
      </c>
    </row>
    <row r="14" spans="1:4" ht="30" customHeight="1" x14ac:dyDescent="0.25">
      <c r="A14" s="228" t="s">
        <v>1040</v>
      </c>
      <c r="C14" s="231">
        <v>35</v>
      </c>
      <c r="D14" s="230">
        <f>+Trator35!A28</f>
        <v>250</v>
      </c>
    </row>
  </sheetData>
  <mergeCells count="1">
    <mergeCell ref="B1:C1"/>
  </mergeCells>
  <hyperlinks>
    <hyperlink ref="A1" location="Indice!A1" display="Índice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zoomScaleSheetLayoutView="100" workbookViewId="0">
      <pane ySplit="1" topLeftCell="A2" activePane="bottomLeft" state="frozen"/>
      <selection pane="bottomLeft" activeCell="A28" sqref="A28"/>
    </sheetView>
  </sheetViews>
  <sheetFormatPr defaultColWidth="8" defaultRowHeight="13.2" x14ac:dyDescent="0.25"/>
  <cols>
    <col min="1" max="9" width="10.6640625" customWidth="1"/>
  </cols>
  <sheetData>
    <row r="1" spans="1:9" ht="15" customHeight="1" x14ac:dyDescent="0.3">
      <c r="A1" s="298" t="s">
        <v>869</v>
      </c>
      <c r="B1" s="344" t="s">
        <v>505</v>
      </c>
      <c r="C1" s="345"/>
      <c r="D1" s="43" t="s">
        <v>506</v>
      </c>
      <c r="E1" s="344" t="s">
        <v>669</v>
      </c>
      <c r="F1" s="345" t="s">
        <v>466</v>
      </c>
      <c r="G1" s="43" t="s">
        <v>507</v>
      </c>
      <c r="H1" s="344">
        <v>35</v>
      </c>
      <c r="I1" s="345"/>
    </row>
    <row r="2" spans="1:9" ht="15" customHeight="1" x14ac:dyDescent="0.25">
      <c r="A2" s="45" t="s">
        <v>508</v>
      </c>
      <c r="B2" s="46" t="s">
        <v>509</v>
      </c>
      <c r="C2" s="46" t="s">
        <v>210</v>
      </c>
      <c r="D2" s="46" t="s">
        <v>510</v>
      </c>
      <c r="E2" s="46" t="s">
        <v>511</v>
      </c>
      <c r="F2" s="46" t="s">
        <v>512</v>
      </c>
      <c r="G2" s="46" t="s">
        <v>498</v>
      </c>
      <c r="H2" s="46" t="s">
        <v>211</v>
      </c>
      <c r="I2" s="90" t="s">
        <v>92</v>
      </c>
    </row>
    <row r="3" spans="1:9" ht="15" customHeight="1" x14ac:dyDescent="0.25">
      <c r="A3" s="44" t="s">
        <v>207</v>
      </c>
      <c r="B3" s="46" t="s">
        <v>205</v>
      </c>
      <c r="C3" s="46" t="s">
        <v>206</v>
      </c>
      <c r="D3" s="46" t="s">
        <v>212</v>
      </c>
      <c r="E3" s="46" t="s">
        <v>212</v>
      </c>
      <c r="F3" s="46" t="s">
        <v>208</v>
      </c>
      <c r="G3" s="46" t="s">
        <v>208</v>
      </c>
      <c r="H3" s="46" t="s">
        <v>208</v>
      </c>
      <c r="I3" s="91" t="s">
        <v>208</v>
      </c>
    </row>
    <row r="4" spans="1:9" ht="15" customHeight="1" x14ac:dyDescent="0.25">
      <c r="A4" s="47">
        <v>100</v>
      </c>
      <c r="B4" s="68">
        <f>+IHERA_Tr!F20</f>
        <v>19690</v>
      </c>
      <c r="C4" s="68">
        <f>+IHERA_Tr!H20</f>
        <v>10</v>
      </c>
      <c r="D4" s="68">
        <f>+IHERA_Tr!K2</f>
        <v>3</v>
      </c>
      <c r="E4" s="68">
        <f>+IHERA_Tr!L2</f>
        <v>2</v>
      </c>
      <c r="F4" s="51">
        <f>($B$4*0.9)/(A4*$C$4)</f>
        <v>17.721</v>
      </c>
      <c r="G4" s="51">
        <f>(($B4*1.1)/(2*A4))*($D$4/100)</f>
        <v>3.24885</v>
      </c>
      <c r="H4" s="51">
        <f>(($B$4*1.1)/(2*A4)*($E$4/100))</f>
        <v>2.1659000000000002</v>
      </c>
      <c r="I4" s="92">
        <f t="shared" ref="I4" si="0">F4+G4+H4</f>
        <v>23.135750000000002</v>
      </c>
    </row>
    <row r="5" spans="1:9" ht="15" customHeight="1" x14ac:dyDescent="0.25">
      <c r="A5" s="50"/>
      <c r="B5" s="47"/>
      <c r="C5" s="47"/>
      <c r="D5" s="47"/>
      <c r="E5" s="47"/>
      <c r="F5" s="47"/>
      <c r="G5" s="47"/>
      <c r="H5" s="47"/>
      <c r="I5" s="47"/>
    </row>
    <row r="6" spans="1:9" ht="15" customHeight="1" x14ac:dyDescent="0.25">
      <c r="A6" s="46" t="s">
        <v>513</v>
      </c>
      <c r="B6" s="46" t="s">
        <v>514</v>
      </c>
      <c r="C6" s="46" t="s">
        <v>515</v>
      </c>
      <c r="D6" s="46" t="s">
        <v>516</v>
      </c>
      <c r="E6" s="46" t="s">
        <v>517</v>
      </c>
      <c r="F6" s="46" t="s">
        <v>518</v>
      </c>
      <c r="G6" s="46" t="s">
        <v>519</v>
      </c>
      <c r="H6" s="46" t="s">
        <v>520</v>
      </c>
      <c r="I6" s="46" t="s">
        <v>521</v>
      </c>
    </row>
    <row r="7" spans="1:9" ht="15" customHeight="1" x14ac:dyDescent="0.25">
      <c r="A7" s="46" t="s">
        <v>39</v>
      </c>
      <c r="B7" s="46" t="s">
        <v>213</v>
      </c>
      <c r="C7" s="46" t="s">
        <v>208</v>
      </c>
      <c r="D7" s="46" t="s">
        <v>214</v>
      </c>
      <c r="E7" s="46" t="s">
        <v>213</v>
      </c>
      <c r="F7" s="46" t="s">
        <v>208</v>
      </c>
      <c r="G7" s="46" t="s">
        <v>205</v>
      </c>
      <c r="H7" s="46" t="s">
        <v>215</v>
      </c>
      <c r="I7" s="46" t="s">
        <v>208</v>
      </c>
    </row>
    <row r="8" spans="1:9" ht="15" customHeight="1" x14ac:dyDescent="0.25">
      <c r="A8" s="66">
        <f>+IHERA_Tr!M2</f>
        <v>0.1</v>
      </c>
      <c r="B8" s="66">
        <f>+IHERA_Tr!N2</f>
        <v>0.36</v>
      </c>
      <c r="C8" s="51">
        <f>+$A$8*$B$8*$H$1</f>
        <v>1.26</v>
      </c>
      <c r="D8" s="72">
        <f>+IHERA_Tr!O2</f>
        <v>2E-3</v>
      </c>
      <c r="E8" s="66">
        <f>+IHERA_Tr!P2</f>
        <v>2.74</v>
      </c>
      <c r="F8" s="51">
        <f>+$D$8*$E$8*$H$1</f>
        <v>0.19180000000000003</v>
      </c>
      <c r="G8" s="68">
        <f>+IHERA_Tr!Q2</f>
        <v>1000</v>
      </c>
      <c r="H8" s="68">
        <f>+IHERA_Tr!R2</f>
        <v>3000</v>
      </c>
      <c r="I8" s="51">
        <f>$G$8/$H$8</f>
        <v>0.33333333333333331</v>
      </c>
    </row>
    <row r="9" spans="1:9" ht="15" customHeight="1" x14ac:dyDescent="0.25">
      <c r="A9" s="50"/>
      <c r="B9" s="47"/>
      <c r="C9" s="47"/>
      <c r="D9" s="47"/>
      <c r="E9" s="47"/>
      <c r="F9" s="47"/>
      <c r="G9" s="47"/>
      <c r="H9" s="47"/>
      <c r="I9" s="47"/>
    </row>
    <row r="10" spans="1:9" ht="15" customHeight="1" x14ac:dyDescent="0.25">
      <c r="A10" s="46" t="s">
        <v>522</v>
      </c>
      <c r="B10" s="46" t="s">
        <v>523</v>
      </c>
      <c r="C10" s="46" t="s">
        <v>524</v>
      </c>
      <c r="D10" s="45" t="s">
        <v>525</v>
      </c>
      <c r="E10" s="90" t="s">
        <v>96</v>
      </c>
      <c r="F10" s="46"/>
      <c r="I10" s="52"/>
    </row>
    <row r="11" spans="1:9" ht="15" customHeight="1" x14ac:dyDescent="0.25">
      <c r="A11" s="46" t="s">
        <v>212</v>
      </c>
      <c r="B11" s="46" t="s">
        <v>208</v>
      </c>
      <c r="C11" s="46" t="s">
        <v>208</v>
      </c>
      <c r="D11" s="46" t="s">
        <v>208</v>
      </c>
      <c r="E11" s="91" t="s">
        <v>208</v>
      </c>
      <c r="F11" s="46"/>
      <c r="I11" s="52"/>
    </row>
    <row r="12" spans="1:9" ht="15" customHeight="1" x14ac:dyDescent="0.25">
      <c r="A12" s="66">
        <f>+IHERA_Tr!S2</f>
        <v>0.01</v>
      </c>
      <c r="B12" s="51">
        <f>$B$4*($A$12/100)</f>
        <v>1.9690000000000001</v>
      </c>
      <c r="C12" s="51">
        <f>+$B$12*(IHERA_Tr!T2/100)</f>
        <v>0.19690000000000002</v>
      </c>
      <c r="D12" s="75">
        <f>+IHERA_Tr!U2</f>
        <v>10</v>
      </c>
      <c r="E12" s="93">
        <f>$C$8+$F$8+$I$8+$B$12+$C$12+$D$12</f>
        <v>13.951033333333333</v>
      </c>
      <c r="F12" s="49"/>
      <c r="I12" s="52"/>
    </row>
    <row r="13" spans="1:9" ht="15" customHeight="1" x14ac:dyDescent="0.25">
      <c r="A13" s="50"/>
      <c r="B13" s="47"/>
      <c r="C13" s="47"/>
      <c r="D13" s="47"/>
      <c r="E13" s="47"/>
      <c r="F13" s="47"/>
      <c r="G13" s="47"/>
      <c r="H13" s="47"/>
      <c r="I13" s="47"/>
    </row>
    <row r="14" spans="1:9" ht="15" customHeight="1" x14ac:dyDescent="0.25">
      <c r="A14" s="84" t="s">
        <v>508</v>
      </c>
      <c r="B14" s="46" t="s">
        <v>92</v>
      </c>
      <c r="C14" s="46" t="s">
        <v>96</v>
      </c>
      <c r="D14" s="85" t="s">
        <v>216</v>
      </c>
      <c r="E14" s="47"/>
      <c r="F14" s="50"/>
      <c r="G14" s="54"/>
      <c r="H14" s="35"/>
      <c r="I14" s="35"/>
    </row>
    <row r="15" spans="1:9" ht="15" customHeight="1" x14ac:dyDescent="0.25">
      <c r="A15" s="86" t="s">
        <v>207</v>
      </c>
      <c r="B15" s="46" t="s">
        <v>208</v>
      </c>
      <c r="C15" s="46" t="s">
        <v>208</v>
      </c>
      <c r="D15" s="85" t="s">
        <v>208</v>
      </c>
      <c r="E15" s="47"/>
      <c r="F15" s="50"/>
      <c r="G15" s="54"/>
      <c r="H15" s="35"/>
      <c r="I15" s="35"/>
    </row>
    <row r="16" spans="1:9" ht="15" customHeight="1" x14ac:dyDescent="0.25">
      <c r="A16" s="87">
        <v>100</v>
      </c>
      <c r="B16" s="89">
        <f>(($B$4*0.9)/(A16*$C$4))+((($B$4*1.1)/(2*A16))*($D$4/100))+((($B$4*1.1)/(2*A16)*($E$4/100)))</f>
        <v>23.135750000000002</v>
      </c>
      <c r="C16" s="49">
        <f>($A$8*$B$8*$H$1)+($D$8*$E$8*$H$1)+($G$8/$H$8)+($B$4*($A$12/100))+($B$12*0.1)+$D$12</f>
        <v>13.951033333333333</v>
      </c>
      <c r="D16" s="88">
        <f>+B16+C16</f>
        <v>37.086783333333337</v>
      </c>
      <c r="E16" s="47"/>
      <c r="F16" s="50"/>
      <c r="G16" s="54"/>
      <c r="H16" s="35"/>
      <c r="I16" s="35"/>
    </row>
    <row r="17" spans="1:9" ht="15" customHeight="1" x14ac:dyDescent="0.25">
      <c r="A17" s="87">
        <f>+A16+100</f>
        <v>200</v>
      </c>
      <c r="B17" s="89">
        <f t="shared" ref="B17:B28" si="1">(($B$4*0.9)/(A17*$C$4))+((($B$4*1.1)/(2*A17))*($D$4/100))+((($B$4*1.1)/(2*A17)*($E$4/100)))</f>
        <v>11.567875000000001</v>
      </c>
      <c r="C17" s="89">
        <f>+$C$16</f>
        <v>13.951033333333333</v>
      </c>
      <c r="D17" s="88">
        <f t="shared" ref="D17:D28" si="2">+B17+C17</f>
        <v>25.518908333333336</v>
      </c>
      <c r="E17" s="47"/>
      <c r="F17" s="50"/>
      <c r="G17" s="54"/>
      <c r="H17" s="35"/>
      <c r="I17" s="35"/>
    </row>
    <row r="18" spans="1:9" ht="15" customHeight="1" x14ac:dyDescent="0.25">
      <c r="A18" s="87">
        <f t="shared" ref="A18:A25" si="3">+A17+100</f>
        <v>300</v>
      </c>
      <c r="B18" s="89">
        <f t="shared" si="1"/>
        <v>7.7119166666666672</v>
      </c>
      <c r="C18" s="89">
        <f t="shared" ref="C18:C25" si="4">+$C$16</f>
        <v>13.951033333333333</v>
      </c>
      <c r="D18" s="88">
        <f t="shared" si="2"/>
        <v>21.662950000000002</v>
      </c>
      <c r="E18" s="47"/>
      <c r="F18" s="50"/>
      <c r="G18" s="54"/>
      <c r="H18" s="35"/>
      <c r="I18" s="35"/>
    </row>
    <row r="19" spans="1:9" ht="15" customHeight="1" x14ac:dyDescent="0.25">
      <c r="A19" s="87">
        <f t="shared" si="3"/>
        <v>400</v>
      </c>
      <c r="B19" s="89">
        <f t="shared" si="1"/>
        <v>5.7839375000000004</v>
      </c>
      <c r="C19" s="89">
        <f t="shared" si="4"/>
        <v>13.951033333333333</v>
      </c>
      <c r="D19" s="88">
        <f t="shared" si="2"/>
        <v>19.734970833333335</v>
      </c>
      <c r="E19" s="47"/>
      <c r="F19" s="50"/>
      <c r="G19" s="54"/>
      <c r="H19" s="35"/>
      <c r="I19" s="35"/>
    </row>
    <row r="20" spans="1:9" ht="15" customHeight="1" x14ac:dyDescent="0.25">
      <c r="A20" s="87">
        <f t="shared" si="3"/>
        <v>500</v>
      </c>
      <c r="B20" s="89">
        <f t="shared" si="1"/>
        <v>4.6271500000000003</v>
      </c>
      <c r="C20" s="89">
        <f t="shared" si="4"/>
        <v>13.951033333333333</v>
      </c>
      <c r="D20" s="88">
        <f t="shared" si="2"/>
        <v>18.578183333333335</v>
      </c>
      <c r="E20" s="47"/>
      <c r="F20" s="50"/>
      <c r="G20" s="54"/>
      <c r="H20" s="35"/>
      <c r="I20" s="35"/>
    </row>
    <row r="21" spans="1:9" ht="15" customHeight="1" x14ac:dyDescent="0.25">
      <c r="A21" s="87">
        <f t="shared" si="3"/>
        <v>600</v>
      </c>
      <c r="B21" s="89">
        <f t="shared" si="1"/>
        <v>3.8559583333333336</v>
      </c>
      <c r="C21" s="89">
        <f t="shared" si="4"/>
        <v>13.951033333333333</v>
      </c>
      <c r="D21" s="88">
        <f t="shared" si="2"/>
        <v>17.806991666666669</v>
      </c>
      <c r="E21" s="55"/>
      <c r="F21" s="52"/>
      <c r="G21" s="52"/>
      <c r="H21" s="52"/>
      <c r="I21" s="52"/>
    </row>
    <row r="22" spans="1:9" ht="15" customHeight="1" x14ac:dyDescent="0.25">
      <c r="A22" s="87">
        <f t="shared" si="3"/>
        <v>700</v>
      </c>
      <c r="B22" s="89">
        <f t="shared" si="1"/>
        <v>3.305107142857143</v>
      </c>
      <c r="C22" s="89">
        <f t="shared" si="4"/>
        <v>13.951033333333333</v>
      </c>
      <c r="D22" s="88">
        <f t="shared" si="2"/>
        <v>17.256140476190478</v>
      </c>
      <c r="E22" s="55"/>
      <c r="F22" s="52"/>
      <c r="G22" s="52"/>
      <c r="H22" s="52"/>
      <c r="I22" s="52"/>
    </row>
    <row r="23" spans="1:9" ht="15" customHeight="1" x14ac:dyDescent="0.25">
      <c r="A23" s="87">
        <f t="shared" si="3"/>
        <v>800</v>
      </c>
      <c r="B23" s="89">
        <f t="shared" si="1"/>
        <v>2.8919687500000002</v>
      </c>
      <c r="C23" s="89">
        <f t="shared" si="4"/>
        <v>13.951033333333333</v>
      </c>
      <c r="D23" s="88">
        <f t="shared" si="2"/>
        <v>16.843002083333332</v>
      </c>
      <c r="E23" s="52"/>
      <c r="F23" s="52"/>
      <c r="G23" s="52"/>
      <c r="H23" s="52"/>
      <c r="I23" s="52"/>
    </row>
    <row r="24" spans="1:9" ht="15" customHeight="1" x14ac:dyDescent="0.25">
      <c r="A24" s="87">
        <f t="shared" si="3"/>
        <v>900</v>
      </c>
      <c r="B24" s="89">
        <f t="shared" si="1"/>
        <v>2.5706388888888889</v>
      </c>
      <c r="C24" s="89">
        <f t="shared" si="4"/>
        <v>13.951033333333333</v>
      </c>
      <c r="D24" s="88">
        <f t="shared" si="2"/>
        <v>16.521672222222222</v>
      </c>
      <c r="E24" s="52"/>
      <c r="F24" s="52"/>
      <c r="G24" s="52"/>
      <c r="H24" s="52"/>
      <c r="I24" s="52"/>
    </row>
    <row r="25" spans="1:9" ht="15" customHeight="1" x14ac:dyDescent="0.25">
      <c r="A25" s="87">
        <f t="shared" si="3"/>
        <v>1000</v>
      </c>
      <c r="B25" s="89">
        <f t="shared" si="1"/>
        <v>2.3135750000000002</v>
      </c>
      <c r="C25" s="89">
        <f t="shared" si="4"/>
        <v>13.951033333333333</v>
      </c>
      <c r="D25" s="88">
        <f t="shared" si="2"/>
        <v>16.264608333333335</v>
      </c>
      <c r="E25" s="52"/>
      <c r="F25" s="52"/>
      <c r="G25" s="52"/>
      <c r="H25" s="52"/>
      <c r="I25" s="52"/>
    </row>
    <row r="26" spans="1:9" s="80" customFormat="1" ht="15" customHeight="1" x14ac:dyDescent="0.25">
      <c r="A26" s="87"/>
      <c r="B26" s="89"/>
      <c r="C26" s="89"/>
      <c r="D26" s="88"/>
      <c r="E26" s="52"/>
      <c r="F26" s="52"/>
      <c r="G26" s="52"/>
      <c r="H26" s="52"/>
      <c r="I26" s="52"/>
    </row>
    <row r="27" spans="1:9" s="80" customFormat="1" ht="15" customHeight="1" x14ac:dyDescent="0.25">
      <c r="A27" s="346" t="s">
        <v>673</v>
      </c>
      <c r="B27" s="347"/>
      <c r="C27" s="347"/>
      <c r="D27" s="347"/>
      <c r="E27" s="52"/>
      <c r="F27" s="52"/>
      <c r="G27" s="52"/>
      <c r="H27" s="52"/>
      <c r="I27" s="52"/>
    </row>
    <row r="28" spans="1:9" s="80" customFormat="1" ht="15" customHeight="1" x14ac:dyDescent="0.25">
      <c r="A28" s="85">
        <f>+Enc_TrEquip!G23</f>
        <v>250</v>
      </c>
      <c r="B28" s="95">
        <f t="shared" si="1"/>
        <v>9.2543000000000006</v>
      </c>
      <c r="C28" s="95">
        <f>+C16</f>
        <v>13.951033333333333</v>
      </c>
      <c r="D28" s="88">
        <f t="shared" si="2"/>
        <v>23.205333333333336</v>
      </c>
      <c r="E28" s="52"/>
      <c r="F28" s="52"/>
      <c r="G28" s="52"/>
      <c r="H28" s="52"/>
      <c r="I28" s="52"/>
    </row>
    <row r="29" spans="1:9" s="80" customFormat="1" ht="15" customHeight="1" x14ac:dyDescent="0.25">
      <c r="A29" s="87"/>
      <c r="B29" s="89"/>
      <c r="C29" s="89"/>
      <c r="D29" s="88"/>
      <c r="E29" s="52"/>
      <c r="F29" s="52"/>
      <c r="G29" s="52"/>
      <c r="H29" s="52"/>
      <c r="I29" s="52"/>
    </row>
    <row r="30" spans="1:9" x14ac:dyDescent="0.25">
      <c r="A30" s="52"/>
      <c r="B30" s="52"/>
      <c r="C30" s="52"/>
      <c r="D30" s="52"/>
      <c r="E30" s="52"/>
      <c r="F30" s="52"/>
      <c r="G30" s="52"/>
      <c r="H30" s="52"/>
      <c r="I30" s="52"/>
    </row>
    <row r="31" spans="1:9" x14ac:dyDescent="0.25">
      <c r="A31" s="52"/>
      <c r="B31" s="52"/>
      <c r="C31" s="52"/>
      <c r="D31" s="52"/>
      <c r="E31" s="52"/>
      <c r="F31" s="52"/>
      <c r="G31" s="52"/>
      <c r="H31" s="52"/>
      <c r="I31" s="52"/>
    </row>
    <row r="32" spans="1:9" x14ac:dyDescent="0.25">
      <c r="A32" s="52"/>
      <c r="B32" s="52"/>
      <c r="C32" s="52"/>
      <c r="D32" s="52"/>
      <c r="E32" s="52"/>
      <c r="F32" s="52"/>
      <c r="G32" s="52"/>
      <c r="H32" s="52"/>
      <c r="I32" s="52"/>
    </row>
    <row r="33" spans="1:9" x14ac:dyDescent="0.25">
      <c r="A33" s="52"/>
      <c r="B33" s="52"/>
      <c r="C33" s="52"/>
      <c r="D33" s="52"/>
      <c r="E33" s="52"/>
      <c r="F33" s="52"/>
      <c r="G33" s="52"/>
      <c r="H33" s="52"/>
      <c r="I33" s="52"/>
    </row>
    <row r="34" spans="1:9" x14ac:dyDescent="0.25">
      <c r="A34" s="52"/>
      <c r="B34" s="52"/>
      <c r="C34" s="52"/>
      <c r="D34" s="52"/>
      <c r="E34" s="52"/>
      <c r="F34" s="52"/>
      <c r="G34" s="52"/>
      <c r="H34" s="52"/>
      <c r="I34" s="52"/>
    </row>
    <row r="35" spans="1:9" x14ac:dyDescent="0.25">
      <c r="A35" s="52"/>
      <c r="B35" s="52"/>
      <c r="C35" s="52"/>
      <c r="D35" s="52"/>
      <c r="E35" s="52"/>
      <c r="F35" s="52"/>
      <c r="G35" s="52"/>
      <c r="H35" s="52"/>
      <c r="I35" s="52"/>
    </row>
    <row r="36" spans="1:9" x14ac:dyDescent="0.25">
      <c r="A36" s="52"/>
      <c r="B36" s="52"/>
      <c r="C36" s="52"/>
      <c r="D36" s="52"/>
      <c r="E36" s="52"/>
      <c r="F36" s="52"/>
      <c r="G36" s="52"/>
      <c r="H36" s="52"/>
      <c r="I36" s="52"/>
    </row>
    <row r="37" spans="1:9" x14ac:dyDescent="0.25">
      <c r="A37" s="52"/>
      <c r="B37" s="52"/>
      <c r="C37" s="52"/>
      <c r="D37" s="52"/>
      <c r="E37" s="52"/>
      <c r="F37" s="52"/>
      <c r="G37" s="52"/>
      <c r="H37" s="52"/>
      <c r="I37" s="52"/>
    </row>
    <row r="38" spans="1:9" x14ac:dyDescent="0.25">
      <c r="A38" s="52"/>
      <c r="B38" s="52"/>
      <c r="C38" s="52"/>
      <c r="D38" s="52"/>
      <c r="E38" s="52"/>
      <c r="F38" s="52"/>
      <c r="G38" s="52"/>
      <c r="H38" s="52"/>
      <c r="I38" s="52"/>
    </row>
    <row r="39" spans="1:9" x14ac:dyDescent="0.25">
      <c r="A39" s="52"/>
      <c r="B39" s="52"/>
      <c r="C39" s="52"/>
      <c r="D39" s="52"/>
      <c r="E39" s="52"/>
      <c r="F39" s="52"/>
      <c r="G39" s="52"/>
      <c r="H39" s="52"/>
      <c r="I39" s="52"/>
    </row>
    <row r="40" spans="1:9" x14ac:dyDescent="0.25">
      <c r="A40" s="52"/>
      <c r="B40" s="52"/>
      <c r="C40" s="52"/>
      <c r="D40" s="52"/>
      <c r="E40" s="52"/>
      <c r="F40" s="52"/>
      <c r="G40" s="52"/>
      <c r="H40" s="52"/>
      <c r="I40" s="52"/>
    </row>
    <row r="41" spans="1:9" x14ac:dyDescent="0.25">
      <c r="A41" s="52"/>
      <c r="B41" s="52"/>
      <c r="C41" s="52"/>
      <c r="D41" s="52"/>
      <c r="E41" s="52"/>
      <c r="F41" s="52"/>
      <c r="G41" s="52"/>
      <c r="H41" s="52"/>
      <c r="I41" s="52"/>
    </row>
    <row r="42" spans="1:9" x14ac:dyDescent="0.25">
      <c r="A42" s="52"/>
      <c r="B42" s="52"/>
      <c r="C42" s="52"/>
      <c r="D42" s="52"/>
      <c r="E42" s="52"/>
      <c r="F42" s="52"/>
      <c r="G42" s="52"/>
      <c r="H42" s="52"/>
      <c r="I42" s="52"/>
    </row>
    <row r="43" spans="1:9" x14ac:dyDescent="0.25">
      <c r="A43" s="52"/>
      <c r="B43" s="52"/>
      <c r="C43" s="52"/>
      <c r="D43" s="52"/>
      <c r="E43" s="52"/>
      <c r="F43" s="52"/>
      <c r="G43" s="52"/>
      <c r="H43" s="52"/>
      <c r="I43" s="52"/>
    </row>
  </sheetData>
  <mergeCells count="4">
    <mergeCell ref="B1:C1"/>
    <mergeCell ref="E1:F1"/>
    <mergeCell ref="H1:I1"/>
    <mergeCell ref="A27:D27"/>
  </mergeCells>
  <hyperlinks>
    <hyperlink ref="A1" location="Indice!A1" display="Índice"/>
  </hyperlinks>
  <printOptions horizontalCentered="1" verticalCentered="1" gridLines="1"/>
  <pageMargins left="7.874015748031496E-2" right="7.874015748031496E-2" top="7.874015748031496E-2" bottom="7.874015748031496E-2" header="0.31496062992125984" footer="0.31496062992125984"/>
  <pageSetup fitToWidth="0" fitToHeight="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zoomScaleSheetLayoutView="100" workbookViewId="0">
      <selection activeCell="A29" sqref="A29"/>
    </sheetView>
  </sheetViews>
  <sheetFormatPr defaultColWidth="8" defaultRowHeight="13.2" x14ac:dyDescent="0.25"/>
  <cols>
    <col min="1" max="9" width="10.6640625" style="94" customWidth="1"/>
    <col min="10" max="16384" width="8" style="94"/>
  </cols>
  <sheetData>
    <row r="1" spans="1:9" ht="13.8" x14ac:dyDescent="0.3">
      <c r="A1" s="298" t="s">
        <v>869</v>
      </c>
      <c r="B1" s="344" t="s">
        <v>505</v>
      </c>
      <c r="C1" s="345"/>
      <c r="D1" s="43" t="s">
        <v>506</v>
      </c>
      <c r="E1" s="344" t="s">
        <v>669</v>
      </c>
      <c r="F1" s="345" t="s">
        <v>466</v>
      </c>
      <c r="G1" s="43" t="s">
        <v>507</v>
      </c>
      <c r="H1" s="344">
        <v>53</v>
      </c>
      <c r="I1" s="345"/>
    </row>
    <row r="2" spans="1:9" x14ac:dyDescent="0.25">
      <c r="A2" s="45" t="s">
        <v>508</v>
      </c>
      <c r="B2" s="46" t="s">
        <v>509</v>
      </c>
      <c r="C2" s="46" t="s">
        <v>210</v>
      </c>
      <c r="D2" s="46" t="s">
        <v>510</v>
      </c>
      <c r="E2" s="46" t="s">
        <v>511</v>
      </c>
      <c r="F2" s="46" t="s">
        <v>512</v>
      </c>
      <c r="G2" s="46" t="s">
        <v>498</v>
      </c>
      <c r="H2" s="46" t="s">
        <v>211</v>
      </c>
      <c r="I2" s="90" t="s">
        <v>92</v>
      </c>
    </row>
    <row r="3" spans="1:9" x14ac:dyDescent="0.25">
      <c r="A3" s="44" t="s">
        <v>207</v>
      </c>
      <c r="B3" s="46" t="s">
        <v>205</v>
      </c>
      <c r="C3" s="46" t="s">
        <v>206</v>
      </c>
      <c r="D3" s="46" t="s">
        <v>212</v>
      </c>
      <c r="E3" s="46" t="s">
        <v>212</v>
      </c>
      <c r="F3" s="46" t="s">
        <v>208</v>
      </c>
      <c r="G3" s="46" t="s">
        <v>208</v>
      </c>
      <c r="H3" s="46" t="s">
        <v>208</v>
      </c>
      <c r="I3" s="91" t="s">
        <v>208</v>
      </c>
    </row>
    <row r="4" spans="1:9" x14ac:dyDescent="0.25">
      <c r="A4" s="47">
        <v>100</v>
      </c>
      <c r="B4" s="68">
        <f>+IHERA_Tr!F22</f>
        <v>28348</v>
      </c>
      <c r="C4" s="68">
        <f>+IHERA_Tr!H22</f>
        <v>10</v>
      </c>
      <c r="D4" s="68">
        <f>+IHERA_Tr!K2</f>
        <v>3</v>
      </c>
      <c r="E4" s="68">
        <f>+IHERA_Tr!L2</f>
        <v>2</v>
      </c>
      <c r="F4" s="51">
        <f>($B$4*0.9)/(A4*$C$4)</f>
        <v>25.513200000000001</v>
      </c>
      <c r="G4" s="51">
        <f>(($B4*1.1)/(2*A4))*($D$4/100)</f>
        <v>4.6774200000000006</v>
      </c>
      <c r="H4" s="51">
        <f>(($B$4*1.1)/(2*A4)*($E$4/100))</f>
        <v>3.1182800000000004</v>
      </c>
      <c r="I4" s="92">
        <f t="shared" ref="I4" si="0">F4+G4+H4</f>
        <v>33.308900000000001</v>
      </c>
    </row>
    <row r="5" spans="1:9" x14ac:dyDescent="0.25">
      <c r="A5" s="50"/>
      <c r="B5" s="47"/>
      <c r="C5" s="47"/>
      <c r="D5" s="47"/>
      <c r="E5" s="47"/>
      <c r="F5" s="47"/>
      <c r="G5" s="47"/>
      <c r="H5" s="47"/>
      <c r="I5" s="47"/>
    </row>
    <row r="6" spans="1:9" x14ac:dyDescent="0.25">
      <c r="A6" s="46" t="s">
        <v>513</v>
      </c>
      <c r="B6" s="46" t="s">
        <v>514</v>
      </c>
      <c r="C6" s="46" t="s">
        <v>515</v>
      </c>
      <c r="D6" s="46" t="s">
        <v>516</v>
      </c>
      <c r="E6" s="46" t="s">
        <v>517</v>
      </c>
      <c r="F6" s="46" t="s">
        <v>518</v>
      </c>
      <c r="G6" s="46" t="s">
        <v>519</v>
      </c>
      <c r="H6" s="46" t="s">
        <v>520</v>
      </c>
      <c r="I6" s="46" t="s">
        <v>521</v>
      </c>
    </row>
    <row r="7" spans="1:9" x14ac:dyDescent="0.25">
      <c r="A7" s="46" t="s">
        <v>39</v>
      </c>
      <c r="B7" s="46" t="s">
        <v>213</v>
      </c>
      <c r="C7" s="46" t="s">
        <v>208</v>
      </c>
      <c r="D7" s="46" t="s">
        <v>214</v>
      </c>
      <c r="E7" s="46" t="s">
        <v>213</v>
      </c>
      <c r="F7" s="46" t="s">
        <v>208</v>
      </c>
      <c r="G7" s="46" t="s">
        <v>205</v>
      </c>
      <c r="H7" s="46" t="s">
        <v>215</v>
      </c>
      <c r="I7" s="46" t="s">
        <v>208</v>
      </c>
    </row>
    <row r="8" spans="1:9" x14ac:dyDescent="0.25">
      <c r="A8" s="66">
        <f>+IHERA_Tr!M2</f>
        <v>0.1</v>
      </c>
      <c r="B8" s="66">
        <f>+IHERA_Tr!N2</f>
        <v>0.36</v>
      </c>
      <c r="C8" s="51">
        <f>+$A$8*$B$8*$H$1</f>
        <v>1.9079999999999999</v>
      </c>
      <c r="D8" s="72">
        <f>+IHERA_Tr!O2</f>
        <v>2E-3</v>
      </c>
      <c r="E8" s="66">
        <f>+IHERA_Tr!P2</f>
        <v>2.74</v>
      </c>
      <c r="F8" s="51">
        <f>+$D$8*$E$8*$H$1</f>
        <v>0.29044000000000003</v>
      </c>
      <c r="G8" s="68">
        <f>+IHERA_Tr!Q3</f>
        <v>1000</v>
      </c>
      <c r="H8" s="68">
        <f>+IHERA_Tr!R2</f>
        <v>3000</v>
      </c>
      <c r="I8" s="51">
        <f>$G$8/$H$8</f>
        <v>0.33333333333333331</v>
      </c>
    </row>
    <row r="9" spans="1:9" x14ac:dyDescent="0.25">
      <c r="A9" s="50"/>
      <c r="B9" s="47"/>
      <c r="C9" s="47"/>
      <c r="D9" s="47"/>
      <c r="E9" s="47"/>
      <c r="F9" s="47"/>
      <c r="G9" s="47"/>
      <c r="H9" s="47"/>
      <c r="I9" s="47"/>
    </row>
    <row r="10" spans="1:9" x14ac:dyDescent="0.25">
      <c r="A10" s="46" t="s">
        <v>522</v>
      </c>
      <c r="B10" s="46" t="s">
        <v>523</v>
      </c>
      <c r="C10" s="46" t="s">
        <v>524</v>
      </c>
      <c r="D10" s="45" t="s">
        <v>525</v>
      </c>
      <c r="E10" s="90" t="s">
        <v>96</v>
      </c>
      <c r="F10" s="46"/>
      <c r="G10" s="80"/>
      <c r="H10" s="80"/>
      <c r="I10" s="52"/>
    </row>
    <row r="11" spans="1:9" x14ac:dyDescent="0.25">
      <c r="A11" s="46" t="s">
        <v>212</v>
      </c>
      <c r="B11" s="46" t="s">
        <v>208</v>
      </c>
      <c r="C11" s="46" t="s">
        <v>208</v>
      </c>
      <c r="D11" s="46" t="s">
        <v>208</v>
      </c>
      <c r="E11" s="91" t="s">
        <v>208</v>
      </c>
      <c r="F11" s="46"/>
      <c r="G11" s="80"/>
      <c r="H11" s="80"/>
      <c r="I11" s="52"/>
    </row>
    <row r="12" spans="1:9" x14ac:dyDescent="0.25">
      <c r="A12" s="66">
        <f>+IHERA_Tr!S2</f>
        <v>0.01</v>
      </c>
      <c r="B12" s="51">
        <f>$B$4*($A$12/100)</f>
        <v>2.8348</v>
      </c>
      <c r="C12" s="51">
        <f>+$B$12*(IHERA_Tr!T2/100)</f>
        <v>0.28348000000000001</v>
      </c>
      <c r="D12" s="75">
        <f>+IHERA_Tr!U2</f>
        <v>10</v>
      </c>
      <c r="E12" s="93">
        <f>$C$8+$F$8+$I$8+$B$12+$C$12+$D$12</f>
        <v>15.650053333333332</v>
      </c>
      <c r="F12" s="49"/>
      <c r="G12" s="80"/>
      <c r="H12" s="80"/>
      <c r="I12" s="52"/>
    </row>
    <row r="13" spans="1:9" x14ac:dyDescent="0.25">
      <c r="A13" s="50"/>
      <c r="B13" s="47"/>
      <c r="C13" s="47"/>
      <c r="D13" s="47"/>
      <c r="E13" s="47"/>
      <c r="F13" s="47"/>
      <c r="G13" s="47"/>
      <c r="H13" s="47"/>
      <c r="I13" s="47"/>
    </row>
    <row r="14" spans="1:9" x14ac:dyDescent="0.25">
      <c r="A14" s="84" t="s">
        <v>508</v>
      </c>
      <c r="B14" s="46" t="s">
        <v>92</v>
      </c>
      <c r="C14" s="46" t="s">
        <v>96</v>
      </c>
      <c r="D14" s="85" t="s">
        <v>216</v>
      </c>
      <c r="E14" s="47"/>
      <c r="F14" s="50"/>
      <c r="G14" s="54"/>
      <c r="H14" s="35"/>
      <c r="I14" s="35"/>
    </row>
    <row r="15" spans="1:9" x14ac:dyDescent="0.25">
      <c r="A15" s="86" t="s">
        <v>207</v>
      </c>
      <c r="B15" s="46" t="s">
        <v>208</v>
      </c>
      <c r="C15" s="46" t="s">
        <v>208</v>
      </c>
      <c r="D15" s="85" t="s">
        <v>208</v>
      </c>
      <c r="E15" s="47"/>
      <c r="F15" s="50"/>
      <c r="G15" s="54"/>
      <c r="H15" s="35"/>
      <c r="I15" s="35"/>
    </row>
    <row r="16" spans="1:9" x14ac:dyDescent="0.25">
      <c r="A16" s="87">
        <v>100</v>
      </c>
      <c r="B16" s="89">
        <f>(($B$4*0.9)/(A16*$C$4))+((($B$4*1.1)/(2*A16))*($D$4/100))+((($B$4*1.1)/(2*A16)*($E$4/100)))</f>
        <v>33.308900000000001</v>
      </c>
      <c r="C16" s="49">
        <f>($A$8*$B$8*$H$1)+($D$8*$E$8*$H$1)+($G$8/$H$8)+($B$4*($A$12/100))+($B$12*0.1)+$D$12</f>
        <v>15.650053333333332</v>
      </c>
      <c r="D16" s="88">
        <f>+B16+C16</f>
        <v>48.958953333333334</v>
      </c>
      <c r="E16" s="47"/>
      <c r="F16" s="50"/>
      <c r="G16" s="54"/>
      <c r="H16" s="35"/>
      <c r="I16" s="35"/>
    </row>
    <row r="17" spans="1:9" x14ac:dyDescent="0.25">
      <c r="A17" s="87">
        <f>+A16+100</f>
        <v>200</v>
      </c>
      <c r="B17" s="89">
        <f t="shared" ref="B17:B28" si="1">(($B$4*0.9)/(A17*$C$4))+((($B$4*1.1)/(2*A17))*($D$4/100))+((($B$4*1.1)/(2*A17)*($E$4/100)))</f>
        <v>16.654450000000001</v>
      </c>
      <c r="C17" s="89">
        <f>+$C$16</f>
        <v>15.650053333333332</v>
      </c>
      <c r="D17" s="88">
        <f t="shared" ref="D17:D28" si="2">+B17+C17</f>
        <v>32.304503333333329</v>
      </c>
      <c r="E17" s="47"/>
      <c r="F17" s="50"/>
      <c r="G17" s="54"/>
      <c r="H17" s="35"/>
      <c r="I17" s="35"/>
    </row>
    <row r="18" spans="1:9" x14ac:dyDescent="0.25">
      <c r="A18" s="87">
        <f t="shared" ref="A18:A25" si="3">+A17+100</f>
        <v>300</v>
      </c>
      <c r="B18" s="89">
        <f t="shared" si="1"/>
        <v>11.102966666666667</v>
      </c>
      <c r="C18" s="89">
        <f t="shared" ref="C18:C25" si="4">+$C$16</f>
        <v>15.650053333333332</v>
      </c>
      <c r="D18" s="88">
        <f t="shared" si="2"/>
        <v>26.753019999999999</v>
      </c>
      <c r="E18" s="47"/>
      <c r="F18" s="50"/>
      <c r="G18" s="54"/>
      <c r="H18" s="35"/>
      <c r="I18" s="35"/>
    </row>
    <row r="19" spans="1:9" x14ac:dyDescent="0.25">
      <c r="A19" s="87">
        <f t="shared" si="3"/>
        <v>400</v>
      </c>
      <c r="B19" s="89">
        <f t="shared" si="1"/>
        <v>8.3272250000000003</v>
      </c>
      <c r="C19" s="89">
        <f t="shared" si="4"/>
        <v>15.650053333333332</v>
      </c>
      <c r="D19" s="88">
        <f t="shared" si="2"/>
        <v>23.977278333333331</v>
      </c>
      <c r="E19" s="47"/>
      <c r="F19" s="50"/>
      <c r="G19" s="54"/>
      <c r="H19" s="35"/>
      <c r="I19" s="35"/>
    </row>
    <row r="20" spans="1:9" x14ac:dyDescent="0.25">
      <c r="A20" s="87">
        <f t="shared" si="3"/>
        <v>500</v>
      </c>
      <c r="B20" s="89">
        <f t="shared" si="1"/>
        <v>6.6617800000000003</v>
      </c>
      <c r="C20" s="89">
        <f t="shared" si="4"/>
        <v>15.650053333333332</v>
      </c>
      <c r="D20" s="88">
        <f t="shared" si="2"/>
        <v>22.311833333333333</v>
      </c>
      <c r="E20" s="47"/>
      <c r="F20" s="50"/>
      <c r="G20" s="54"/>
      <c r="H20" s="35"/>
      <c r="I20" s="35"/>
    </row>
    <row r="21" spans="1:9" x14ac:dyDescent="0.25">
      <c r="A21" s="87">
        <f t="shared" si="3"/>
        <v>600</v>
      </c>
      <c r="B21" s="89">
        <f t="shared" si="1"/>
        <v>5.5514833333333335</v>
      </c>
      <c r="C21" s="89">
        <f t="shared" si="4"/>
        <v>15.650053333333332</v>
      </c>
      <c r="D21" s="88">
        <f t="shared" si="2"/>
        <v>21.201536666666666</v>
      </c>
      <c r="E21" s="55"/>
      <c r="F21" s="52"/>
      <c r="G21" s="52"/>
      <c r="H21" s="52"/>
      <c r="I21" s="52"/>
    </row>
    <row r="22" spans="1:9" x14ac:dyDescent="0.25">
      <c r="A22" s="87">
        <f t="shared" si="3"/>
        <v>700</v>
      </c>
      <c r="B22" s="89">
        <f t="shared" si="1"/>
        <v>4.7584142857142853</v>
      </c>
      <c r="C22" s="89">
        <f t="shared" si="4"/>
        <v>15.650053333333332</v>
      </c>
      <c r="D22" s="88">
        <f t="shared" si="2"/>
        <v>20.408467619047617</v>
      </c>
      <c r="E22" s="55"/>
      <c r="F22" s="52"/>
      <c r="G22" s="52"/>
      <c r="H22" s="52"/>
      <c r="I22" s="52"/>
    </row>
    <row r="23" spans="1:9" x14ac:dyDescent="0.25">
      <c r="A23" s="87">
        <f t="shared" si="3"/>
        <v>800</v>
      </c>
      <c r="B23" s="89">
        <f t="shared" si="1"/>
        <v>4.1636125000000002</v>
      </c>
      <c r="C23" s="89">
        <f t="shared" si="4"/>
        <v>15.650053333333332</v>
      </c>
      <c r="D23" s="88">
        <f t="shared" si="2"/>
        <v>19.813665833333332</v>
      </c>
      <c r="E23" s="52"/>
      <c r="F23" s="52"/>
      <c r="G23" s="52"/>
      <c r="H23" s="52"/>
      <c r="I23" s="52"/>
    </row>
    <row r="24" spans="1:9" x14ac:dyDescent="0.25">
      <c r="A24" s="87">
        <f t="shared" si="3"/>
        <v>900</v>
      </c>
      <c r="B24" s="89">
        <f t="shared" si="1"/>
        <v>3.7009888888888889</v>
      </c>
      <c r="C24" s="89">
        <f t="shared" si="4"/>
        <v>15.650053333333332</v>
      </c>
      <c r="D24" s="88">
        <f t="shared" si="2"/>
        <v>19.351042222222222</v>
      </c>
      <c r="E24" s="52"/>
      <c r="F24" s="52"/>
      <c r="G24" s="52"/>
      <c r="H24" s="52"/>
      <c r="I24" s="52"/>
    </row>
    <row r="25" spans="1:9" x14ac:dyDescent="0.25">
      <c r="A25" s="87">
        <f t="shared" si="3"/>
        <v>1000</v>
      </c>
      <c r="B25" s="89">
        <f t="shared" si="1"/>
        <v>3.3308900000000001</v>
      </c>
      <c r="C25" s="89">
        <f t="shared" si="4"/>
        <v>15.650053333333332</v>
      </c>
      <c r="D25" s="88">
        <f t="shared" si="2"/>
        <v>18.980943333333332</v>
      </c>
      <c r="E25" s="52"/>
      <c r="F25" s="52"/>
      <c r="G25" s="52"/>
      <c r="H25" s="52"/>
      <c r="I25" s="52"/>
    </row>
    <row r="26" spans="1:9" x14ac:dyDescent="0.25">
      <c r="A26" s="87"/>
      <c r="B26" s="89"/>
      <c r="C26" s="89"/>
      <c r="D26" s="88"/>
      <c r="E26" s="52"/>
      <c r="F26" s="52"/>
      <c r="G26" s="52"/>
      <c r="H26" s="52"/>
      <c r="I26" s="52"/>
    </row>
    <row r="27" spans="1:9" x14ac:dyDescent="0.25">
      <c r="A27" s="346" t="s">
        <v>673</v>
      </c>
      <c r="B27" s="347"/>
      <c r="C27" s="347"/>
      <c r="D27" s="347"/>
      <c r="E27" s="52"/>
      <c r="F27" s="52"/>
      <c r="G27" s="52"/>
      <c r="H27" s="52"/>
      <c r="I27" s="52"/>
    </row>
    <row r="28" spans="1:9" x14ac:dyDescent="0.25">
      <c r="A28" s="85">
        <f>+Enc_TrEquip!G24</f>
        <v>300</v>
      </c>
      <c r="B28" s="95">
        <f t="shared" si="1"/>
        <v>11.102966666666667</v>
      </c>
      <c r="C28" s="95">
        <f>+C16</f>
        <v>15.650053333333332</v>
      </c>
      <c r="D28" s="88">
        <f t="shared" si="2"/>
        <v>26.753019999999999</v>
      </c>
      <c r="E28" s="52"/>
      <c r="F28" s="52"/>
      <c r="G28" s="52"/>
      <c r="H28" s="52"/>
      <c r="I28" s="52"/>
    </row>
    <row r="29" spans="1:9" x14ac:dyDescent="0.25">
      <c r="A29" s="87"/>
      <c r="B29" s="89"/>
      <c r="C29" s="89"/>
      <c r="D29" s="88"/>
      <c r="E29" s="52"/>
      <c r="F29" s="52"/>
      <c r="G29" s="52"/>
      <c r="H29" s="52"/>
      <c r="I29" s="52"/>
    </row>
    <row r="30" spans="1:9" x14ac:dyDescent="0.25">
      <c r="A30" s="52"/>
      <c r="B30" s="52"/>
      <c r="C30" s="52"/>
      <c r="D30" s="52"/>
      <c r="E30" s="52"/>
      <c r="F30" s="52"/>
      <c r="G30" s="52"/>
      <c r="H30" s="52"/>
      <c r="I30" s="52"/>
    </row>
    <row r="31" spans="1:9" x14ac:dyDescent="0.25">
      <c r="A31" s="52"/>
      <c r="B31" s="52"/>
      <c r="C31" s="52"/>
      <c r="D31" s="52"/>
      <c r="E31" s="52"/>
      <c r="F31" s="52"/>
      <c r="G31" s="52"/>
      <c r="H31" s="52"/>
      <c r="I31" s="52"/>
    </row>
    <row r="32" spans="1:9" x14ac:dyDescent="0.25">
      <c r="A32" s="52"/>
      <c r="B32" s="52"/>
      <c r="C32" s="52"/>
      <c r="D32" s="52"/>
      <c r="E32" s="52"/>
      <c r="F32" s="52"/>
      <c r="G32" s="52"/>
      <c r="H32" s="52"/>
      <c r="I32" s="52"/>
    </row>
    <row r="33" spans="1:9" x14ac:dyDescent="0.25">
      <c r="A33" s="52"/>
      <c r="B33" s="52"/>
      <c r="C33" s="52"/>
      <c r="D33" s="52"/>
      <c r="E33" s="52"/>
      <c r="F33" s="52"/>
      <c r="G33" s="52"/>
      <c r="H33" s="52"/>
      <c r="I33" s="52"/>
    </row>
    <row r="34" spans="1:9" x14ac:dyDescent="0.25">
      <c r="A34" s="52"/>
      <c r="B34" s="52"/>
      <c r="C34" s="52"/>
      <c r="D34" s="52"/>
      <c r="E34" s="52"/>
      <c r="F34" s="52"/>
      <c r="G34" s="52"/>
      <c r="H34" s="52"/>
      <c r="I34" s="52"/>
    </row>
    <row r="35" spans="1:9" x14ac:dyDescent="0.25">
      <c r="A35" s="52"/>
      <c r="B35" s="52"/>
      <c r="C35" s="52"/>
      <c r="D35" s="52"/>
      <c r="E35" s="52"/>
      <c r="F35" s="52"/>
      <c r="G35" s="52"/>
      <c r="H35" s="52"/>
      <c r="I35" s="52"/>
    </row>
    <row r="36" spans="1:9" x14ac:dyDescent="0.25">
      <c r="A36" s="52"/>
      <c r="B36" s="52"/>
      <c r="C36" s="52"/>
      <c r="D36" s="52"/>
      <c r="E36" s="52"/>
      <c r="F36" s="52"/>
      <c r="G36" s="52"/>
      <c r="H36" s="52"/>
      <c r="I36" s="52"/>
    </row>
    <row r="37" spans="1:9" x14ac:dyDescent="0.25">
      <c r="A37" s="52"/>
      <c r="B37" s="52"/>
      <c r="C37" s="52"/>
      <c r="D37" s="52"/>
      <c r="E37" s="52"/>
      <c r="F37" s="52"/>
      <c r="G37" s="52"/>
      <c r="H37" s="52"/>
      <c r="I37" s="52"/>
    </row>
    <row r="38" spans="1:9" x14ac:dyDescent="0.25">
      <c r="A38" s="52"/>
      <c r="B38" s="52"/>
      <c r="C38" s="52"/>
      <c r="D38" s="52"/>
      <c r="E38" s="52"/>
      <c r="F38" s="52"/>
      <c r="G38" s="52"/>
      <c r="H38" s="52"/>
      <c r="I38" s="52"/>
    </row>
    <row r="39" spans="1:9" x14ac:dyDescent="0.25">
      <c r="A39" s="52"/>
      <c r="B39" s="52"/>
      <c r="C39" s="52"/>
      <c r="D39" s="52"/>
      <c r="E39" s="52"/>
      <c r="F39" s="52"/>
      <c r="G39" s="52"/>
      <c r="H39" s="52"/>
      <c r="I39" s="52"/>
    </row>
    <row r="40" spans="1:9" x14ac:dyDescent="0.25">
      <c r="A40" s="52"/>
      <c r="B40" s="52"/>
      <c r="C40" s="52"/>
      <c r="D40" s="52"/>
      <c r="E40" s="52"/>
      <c r="F40" s="52"/>
      <c r="G40" s="52"/>
      <c r="H40" s="52"/>
      <c r="I40" s="52"/>
    </row>
    <row r="41" spans="1:9" x14ac:dyDescent="0.25">
      <c r="A41" s="52"/>
      <c r="B41" s="52"/>
      <c r="C41" s="52"/>
      <c r="D41" s="52"/>
      <c r="E41" s="52"/>
      <c r="F41" s="52"/>
      <c r="G41" s="52"/>
      <c r="H41" s="52"/>
      <c r="I41" s="52"/>
    </row>
    <row r="42" spans="1:9" x14ac:dyDescent="0.25">
      <c r="A42" s="52"/>
      <c r="B42" s="52"/>
      <c r="C42" s="52"/>
      <c r="D42" s="52"/>
      <c r="E42" s="52"/>
      <c r="F42" s="52"/>
      <c r="G42" s="52"/>
      <c r="H42" s="52"/>
      <c r="I42" s="52"/>
    </row>
    <row r="43" spans="1:9" x14ac:dyDescent="0.25">
      <c r="A43" s="52"/>
      <c r="B43" s="52"/>
      <c r="C43" s="52"/>
      <c r="D43" s="52"/>
      <c r="E43" s="52"/>
      <c r="F43" s="52"/>
      <c r="G43" s="52"/>
      <c r="H43" s="52"/>
      <c r="I43" s="52"/>
    </row>
    <row r="44" spans="1:9" x14ac:dyDescent="0.25">
      <c r="A44" s="80"/>
      <c r="B44" s="80"/>
      <c r="C44" s="80"/>
      <c r="D44" s="80"/>
      <c r="E44" s="80"/>
      <c r="F44" s="80"/>
      <c r="G44" s="80"/>
      <c r="H44" s="80"/>
      <c r="I44" s="80"/>
    </row>
    <row r="45" spans="1:9" x14ac:dyDescent="0.25">
      <c r="A45" s="80"/>
      <c r="B45" s="80"/>
      <c r="C45" s="80"/>
      <c r="D45" s="80"/>
      <c r="E45" s="80"/>
      <c r="F45" s="80"/>
      <c r="G45" s="80"/>
      <c r="H45" s="80"/>
      <c r="I45" s="80"/>
    </row>
    <row r="46" spans="1:9" x14ac:dyDescent="0.25">
      <c r="A46" s="80"/>
      <c r="B46" s="80"/>
      <c r="C46" s="80"/>
      <c r="D46" s="80"/>
      <c r="E46" s="80"/>
      <c r="F46" s="80"/>
      <c r="G46" s="80"/>
      <c r="H46" s="80"/>
      <c r="I46" s="80"/>
    </row>
    <row r="47" spans="1:9" x14ac:dyDescent="0.25">
      <c r="A47" s="80"/>
      <c r="B47" s="80"/>
      <c r="C47" s="80"/>
      <c r="D47" s="80"/>
      <c r="E47" s="80"/>
      <c r="F47" s="80"/>
      <c r="G47" s="80"/>
      <c r="H47" s="80"/>
      <c r="I47" s="80"/>
    </row>
    <row r="48" spans="1:9" x14ac:dyDescent="0.25">
      <c r="A48" s="80"/>
      <c r="B48" s="80"/>
      <c r="C48" s="80"/>
      <c r="D48" s="80"/>
      <c r="E48" s="80"/>
      <c r="F48" s="80"/>
      <c r="G48" s="80"/>
      <c r="H48" s="80"/>
      <c r="I48" s="80"/>
    </row>
    <row r="49" spans="1:9" x14ac:dyDescent="0.25">
      <c r="A49" s="80"/>
      <c r="B49" s="80"/>
      <c r="C49" s="80"/>
      <c r="D49" s="80"/>
      <c r="E49" s="80"/>
      <c r="F49" s="80"/>
      <c r="G49" s="80"/>
      <c r="H49" s="80"/>
      <c r="I49" s="80"/>
    </row>
    <row r="50" spans="1:9" x14ac:dyDescent="0.25">
      <c r="A50" s="80"/>
      <c r="B50" s="80"/>
      <c r="C50" s="80"/>
      <c r="D50" s="80"/>
      <c r="E50" s="80"/>
      <c r="F50" s="80"/>
      <c r="G50" s="80"/>
      <c r="H50" s="80"/>
      <c r="I50" s="80"/>
    </row>
    <row r="51" spans="1:9" x14ac:dyDescent="0.25">
      <c r="A51" s="80"/>
      <c r="B51" s="80"/>
      <c r="C51" s="80"/>
      <c r="D51" s="80"/>
      <c r="E51" s="80"/>
      <c r="F51" s="80"/>
      <c r="G51" s="80"/>
      <c r="H51" s="80"/>
      <c r="I51" s="80"/>
    </row>
    <row r="52" spans="1:9" x14ac:dyDescent="0.25">
      <c r="A52" s="80"/>
      <c r="B52" s="80"/>
      <c r="C52" s="80"/>
      <c r="D52" s="80"/>
      <c r="E52" s="80"/>
      <c r="F52" s="80"/>
      <c r="G52" s="80"/>
      <c r="H52" s="80"/>
      <c r="I52" s="80"/>
    </row>
    <row r="53" spans="1:9" x14ac:dyDescent="0.25">
      <c r="A53" s="80"/>
      <c r="B53" s="80"/>
      <c r="C53" s="80"/>
      <c r="D53" s="80"/>
      <c r="E53" s="80"/>
      <c r="F53" s="80"/>
      <c r="G53" s="80"/>
      <c r="H53" s="80"/>
      <c r="I53" s="80"/>
    </row>
    <row r="54" spans="1:9" x14ac:dyDescent="0.25">
      <c r="A54" s="80"/>
      <c r="B54" s="80"/>
      <c r="C54" s="80"/>
      <c r="D54" s="80"/>
      <c r="E54" s="80"/>
      <c r="F54" s="80"/>
      <c r="G54" s="80"/>
      <c r="H54" s="80"/>
      <c r="I54" s="80"/>
    </row>
    <row r="55" spans="1:9" x14ac:dyDescent="0.25">
      <c r="A55" s="80"/>
      <c r="B55" s="80"/>
      <c r="C55" s="80"/>
      <c r="D55" s="80"/>
      <c r="E55" s="80"/>
      <c r="F55" s="80"/>
      <c r="G55" s="80"/>
      <c r="H55" s="80"/>
      <c r="I55" s="80"/>
    </row>
  </sheetData>
  <mergeCells count="4">
    <mergeCell ref="A27:D27"/>
    <mergeCell ref="B1:C1"/>
    <mergeCell ref="E1:F1"/>
    <mergeCell ref="H1:I1"/>
  </mergeCells>
  <hyperlinks>
    <hyperlink ref="A1" location="Indice!A1" display="Índice"/>
  </hyperlinks>
  <printOptions horizontalCentered="1" verticalCentered="1" gridLines="1"/>
  <pageMargins left="7.874015748031496E-2" right="7.874015748031496E-2" top="7.874015748031496E-2" bottom="7.874015748031496E-2" header="0.31496062992125984" footer="0.31496062992125984"/>
  <pageSetup fitToWidth="0" fitToHeight="0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zoomScaleSheetLayoutView="100" workbookViewId="0">
      <pane ySplit="1" topLeftCell="A2" activePane="bottomLeft" state="frozen"/>
      <selection pane="bottomLeft" activeCell="N38" sqref="N38"/>
    </sheetView>
  </sheetViews>
  <sheetFormatPr defaultColWidth="8" defaultRowHeight="13.2" x14ac:dyDescent="0.25"/>
  <cols>
    <col min="1" max="9" width="10.6640625" style="94" customWidth="1"/>
    <col min="10" max="16384" width="8" style="94"/>
  </cols>
  <sheetData>
    <row r="1" spans="1:9" ht="13.8" x14ac:dyDescent="0.3">
      <c r="A1" s="298" t="s">
        <v>869</v>
      </c>
      <c r="B1" s="344" t="s">
        <v>505</v>
      </c>
      <c r="C1" s="345"/>
      <c r="D1" s="43" t="s">
        <v>506</v>
      </c>
      <c r="E1" s="344" t="s">
        <v>669</v>
      </c>
      <c r="F1" s="345" t="s">
        <v>466</v>
      </c>
      <c r="G1" s="43" t="s">
        <v>507</v>
      </c>
      <c r="H1" s="344">
        <v>60</v>
      </c>
      <c r="I1" s="345"/>
    </row>
    <row r="2" spans="1:9" x14ac:dyDescent="0.25">
      <c r="A2" s="45" t="s">
        <v>508</v>
      </c>
      <c r="B2" s="46" t="s">
        <v>509</v>
      </c>
      <c r="C2" s="46" t="s">
        <v>210</v>
      </c>
      <c r="D2" s="46" t="s">
        <v>510</v>
      </c>
      <c r="E2" s="46" t="s">
        <v>511</v>
      </c>
      <c r="F2" s="46" t="s">
        <v>512</v>
      </c>
      <c r="G2" s="46" t="s">
        <v>498</v>
      </c>
      <c r="H2" s="46" t="s">
        <v>211</v>
      </c>
      <c r="I2" s="90" t="s">
        <v>92</v>
      </c>
    </row>
    <row r="3" spans="1:9" x14ac:dyDescent="0.25">
      <c r="A3" s="44" t="s">
        <v>207</v>
      </c>
      <c r="B3" s="46" t="s">
        <v>205</v>
      </c>
      <c r="C3" s="46" t="s">
        <v>206</v>
      </c>
      <c r="D3" s="46" t="s">
        <v>212</v>
      </c>
      <c r="E3" s="46" t="s">
        <v>212</v>
      </c>
      <c r="F3" s="46" t="s">
        <v>208</v>
      </c>
      <c r="G3" s="46" t="s">
        <v>208</v>
      </c>
      <c r="H3" s="46" t="s">
        <v>208</v>
      </c>
      <c r="I3" s="91" t="s">
        <v>208</v>
      </c>
    </row>
    <row r="4" spans="1:9" x14ac:dyDescent="0.25">
      <c r="A4" s="47">
        <v>100</v>
      </c>
      <c r="B4" s="68">
        <f>+IHERA_Tr!F23</f>
        <v>31709</v>
      </c>
      <c r="C4" s="68">
        <f>+IHERA_Tr!H23</f>
        <v>10</v>
      </c>
      <c r="D4" s="68">
        <f>+IHERA_Tr!K2</f>
        <v>3</v>
      </c>
      <c r="E4" s="68">
        <f>+IHERA_Tr!L2</f>
        <v>2</v>
      </c>
      <c r="F4" s="51">
        <f>($B$4*0.9)/(A4*$C$4)</f>
        <v>28.538100000000004</v>
      </c>
      <c r="G4" s="51">
        <f>(($B4*1.1)/(2*A4))*($D$4/100)</f>
        <v>5.2319850000000008</v>
      </c>
      <c r="H4" s="51">
        <f>(($B$4*1.1)/(2*A4)*($E$4/100))</f>
        <v>3.4879900000000004</v>
      </c>
      <c r="I4" s="92">
        <f t="shared" ref="I4" si="0">F4+G4+H4</f>
        <v>37.258075000000005</v>
      </c>
    </row>
    <row r="5" spans="1:9" x14ac:dyDescent="0.25">
      <c r="A5" s="50"/>
      <c r="B5" s="47"/>
      <c r="C5" s="47"/>
      <c r="D5" s="47"/>
      <c r="E5" s="47"/>
      <c r="F5" s="47"/>
      <c r="G5" s="47"/>
      <c r="H5" s="47"/>
      <c r="I5" s="47"/>
    </row>
    <row r="6" spans="1:9" x14ac:dyDescent="0.25">
      <c r="A6" s="46" t="s">
        <v>513</v>
      </c>
      <c r="B6" s="46" t="s">
        <v>514</v>
      </c>
      <c r="C6" s="46" t="s">
        <v>515</v>
      </c>
      <c r="D6" s="46" t="s">
        <v>516</v>
      </c>
      <c r="E6" s="46" t="s">
        <v>517</v>
      </c>
      <c r="F6" s="46" t="s">
        <v>518</v>
      </c>
      <c r="G6" s="46" t="s">
        <v>519</v>
      </c>
      <c r="H6" s="46" t="s">
        <v>520</v>
      </c>
      <c r="I6" s="46" t="s">
        <v>521</v>
      </c>
    </row>
    <row r="7" spans="1:9" x14ac:dyDescent="0.25">
      <c r="A7" s="46" t="s">
        <v>39</v>
      </c>
      <c r="B7" s="46" t="s">
        <v>213</v>
      </c>
      <c r="C7" s="46" t="s">
        <v>208</v>
      </c>
      <c r="D7" s="46" t="s">
        <v>214</v>
      </c>
      <c r="E7" s="46" t="s">
        <v>213</v>
      </c>
      <c r="F7" s="46" t="s">
        <v>208</v>
      </c>
      <c r="G7" s="46" t="s">
        <v>205</v>
      </c>
      <c r="H7" s="46" t="s">
        <v>215</v>
      </c>
      <c r="I7" s="46" t="s">
        <v>208</v>
      </c>
    </row>
    <row r="8" spans="1:9" x14ac:dyDescent="0.25">
      <c r="A8" s="66">
        <f>+IHERA_Tr!M2</f>
        <v>0.1</v>
      </c>
      <c r="B8" s="66">
        <f>+IHERA_Tr!N2</f>
        <v>0.36</v>
      </c>
      <c r="C8" s="51">
        <f>+$A$8*$B$8*$H$1</f>
        <v>2.1599999999999997</v>
      </c>
      <c r="D8" s="72">
        <f>+IHERA_Tr!O2</f>
        <v>2E-3</v>
      </c>
      <c r="E8" s="66">
        <f>+IHERA_Tr!P2</f>
        <v>2.74</v>
      </c>
      <c r="F8" s="51">
        <f>+$D$8*$E$8*$H$1</f>
        <v>0.32880000000000004</v>
      </c>
      <c r="G8" s="68">
        <f>+IHERA_Tr!Q2</f>
        <v>1000</v>
      </c>
      <c r="H8" s="68">
        <f>+IHERA_Tr!R2</f>
        <v>3000</v>
      </c>
      <c r="I8" s="51">
        <f>$G$8/$H$8</f>
        <v>0.33333333333333331</v>
      </c>
    </row>
    <row r="9" spans="1:9" x14ac:dyDescent="0.25">
      <c r="A9" s="50"/>
      <c r="B9" s="47"/>
      <c r="C9" s="47"/>
      <c r="D9" s="47"/>
      <c r="E9" s="47"/>
      <c r="F9" s="47"/>
      <c r="G9" s="47"/>
      <c r="H9" s="47"/>
      <c r="I9" s="47"/>
    </row>
    <row r="10" spans="1:9" x14ac:dyDescent="0.25">
      <c r="A10" s="46" t="s">
        <v>522</v>
      </c>
      <c r="B10" s="46" t="s">
        <v>523</v>
      </c>
      <c r="C10" s="46" t="s">
        <v>524</v>
      </c>
      <c r="D10" s="45" t="s">
        <v>525</v>
      </c>
      <c r="E10" s="90" t="s">
        <v>96</v>
      </c>
      <c r="F10" s="46"/>
      <c r="G10" s="80"/>
      <c r="H10" s="80"/>
      <c r="I10" s="52"/>
    </row>
    <row r="11" spans="1:9" x14ac:dyDescent="0.25">
      <c r="A11" s="46" t="s">
        <v>212</v>
      </c>
      <c r="B11" s="46" t="s">
        <v>208</v>
      </c>
      <c r="C11" s="46" t="s">
        <v>208</v>
      </c>
      <c r="D11" s="46" t="s">
        <v>208</v>
      </c>
      <c r="E11" s="91" t="s">
        <v>208</v>
      </c>
      <c r="F11" s="46"/>
      <c r="G11" s="80"/>
      <c r="H11" s="80"/>
      <c r="I11" s="52"/>
    </row>
    <row r="12" spans="1:9" x14ac:dyDescent="0.25">
      <c r="A12" s="66">
        <f>+IHERA_Tr!S2</f>
        <v>0.01</v>
      </c>
      <c r="B12" s="51">
        <f>$B$4*($A$12/100)</f>
        <v>3.1709000000000001</v>
      </c>
      <c r="C12" s="51">
        <f>+$B$12*(IHERA_Tr!T2/100)</f>
        <v>0.31709000000000004</v>
      </c>
      <c r="D12" s="75">
        <f>+IHERA_Tr!U2</f>
        <v>10</v>
      </c>
      <c r="E12" s="93">
        <f>$C$8+$F$8+$I$8+$B$12+$C$12+$D$12</f>
        <v>16.310123333333333</v>
      </c>
      <c r="F12" s="49"/>
      <c r="G12" s="80"/>
      <c r="H12" s="80"/>
      <c r="I12" s="52"/>
    </row>
    <row r="13" spans="1:9" x14ac:dyDescent="0.25">
      <c r="A13" s="50"/>
      <c r="B13" s="47"/>
      <c r="C13" s="47"/>
      <c r="D13" s="47"/>
      <c r="E13" s="47"/>
      <c r="F13" s="47"/>
      <c r="G13" s="47"/>
      <c r="H13" s="47"/>
      <c r="I13" s="47"/>
    </row>
    <row r="14" spans="1:9" x14ac:dyDescent="0.25">
      <c r="A14" s="84" t="s">
        <v>508</v>
      </c>
      <c r="B14" s="46" t="s">
        <v>92</v>
      </c>
      <c r="C14" s="46" t="s">
        <v>96</v>
      </c>
      <c r="D14" s="85" t="s">
        <v>216</v>
      </c>
      <c r="E14" s="47"/>
      <c r="F14" s="50"/>
      <c r="G14" s="54"/>
      <c r="H14" s="35"/>
      <c r="I14" s="35"/>
    </row>
    <row r="15" spans="1:9" x14ac:dyDescent="0.25">
      <c r="A15" s="86" t="s">
        <v>207</v>
      </c>
      <c r="B15" s="46" t="s">
        <v>208</v>
      </c>
      <c r="C15" s="46" t="s">
        <v>208</v>
      </c>
      <c r="D15" s="85" t="s">
        <v>208</v>
      </c>
      <c r="E15" s="47"/>
      <c r="F15" s="50"/>
      <c r="G15" s="54"/>
      <c r="H15" s="35"/>
      <c r="I15" s="35"/>
    </row>
    <row r="16" spans="1:9" x14ac:dyDescent="0.25">
      <c r="A16" s="87">
        <v>100</v>
      </c>
      <c r="B16" s="89">
        <f>(($B$4*0.9)/(A16*$C$4))+((($B$4*1.1)/(2*A16))*($D$4/100))+((($B$4*1.1)/(2*A16)*($E$4/100)))</f>
        <v>37.258075000000005</v>
      </c>
      <c r="C16" s="49">
        <f>($A$8*$B$8*$H$1)+($D$8*$E$8*$H$1)+($G$8/$H$8)+($B$4*($A$12/100))+($B$12*0.1)+$D$12</f>
        <v>16.310123333333333</v>
      </c>
      <c r="D16" s="88">
        <f>+B16+C16</f>
        <v>53.568198333333342</v>
      </c>
      <c r="E16" s="47"/>
      <c r="F16" s="50"/>
      <c r="G16" s="54"/>
      <c r="H16" s="35"/>
      <c r="I16" s="35"/>
    </row>
    <row r="17" spans="1:9" x14ac:dyDescent="0.25">
      <c r="A17" s="87">
        <f>+A16+100</f>
        <v>200</v>
      </c>
      <c r="B17" s="89">
        <f t="shared" ref="B17:B25" si="1">(($B$4*0.9)/(A17*$C$4))+((($B$4*1.1)/(2*A17))*($D$4/100))+((($B$4*1.1)/(2*A17)*($E$4/100)))</f>
        <v>18.629037500000003</v>
      </c>
      <c r="C17" s="89">
        <f>+$C$16</f>
        <v>16.310123333333333</v>
      </c>
      <c r="D17" s="88">
        <f t="shared" ref="D17:D28" si="2">+B17+C17</f>
        <v>34.939160833333332</v>
      </c>
      <c r="E17" s="47"/>
      <c r="F17" s="50"/>
      <c r="G17" s="54"/>
      <c r="H17" s="35"/>
      <c r="I17" s="35"/>
    </row>
    <row r="18" spans="1:9" x14ac:dyDescent="0.25">
      <c r="A18" s="87">
        <f t="shared" ref="A18:A25" si="3">+A17+100</f>
        <v>300</v>
      </c>
      <c r="B18" s="89">
        <f t="shared" si="1"/>
        <v>12.419358333333333</v>
      </c>
      <c r="C18" s="89">
        <f t="shared" ref="C18:C25" si="4">+$C$16</f>
        <v>16.310123333333333</v>
      </c>
      <c r="D18" s="88">
        <f t="shared" si="2"/>
        <v>28.729481666666665</v>
      </c>
      <c r="E18" s="47"/>
      <c r="F18" s="50"/>
      <c r="G18" s="54"/>
      <c r="H18" s="35"/>
      <c r="I18" s="35"/>
    </row>
    <row r="19" spans="1:9" x14ac:dyDescent="0.25">
      <c r="A19" s="87">
        <f t="shared" si="3"/>
        <v>400</v>
      </c>
      <c r="B19" s="89">
        <f t="shared" si="1"/>
        <v>9.3145187500000013</v>
      </c>
      <c r="C19" s="89">
        <f t="shared" si="4"/>
        <v>16.310123333333333</v>
      </c>
      <c r="D19" s="88">
        <f t="shared" si="2"/>
        <v>25.624642083333335</v>
      </c>
      <c r="E19" s="47"/>
      <c r="F19" s="50"/>
      <c r="G19" s="54"/>
      <c r="H19" s="35"/>
      <c r="I19" s="35"/>
    </row>
    <row r="20" spans="1:9" x14ac:dyDescent="0.25">
      <c r="A20" s="87">
        <f t="shared" si="3"/>
        <v>500</v>
      </c>
      <c r="B20" s="89">
        <f t="shared" si="1"/>
        <v>7.4516150000000003</v>
      </c>
      <c r="C20" s="89">
        <f t="shared" si="4"/>
        <v>16.310123333333333</v>
      </c>
      <c r="D20" s="88">
        <f t="shared" si="2"/>
        <v>23.761738333333334</v>
      </c>
      <c r="E20" s="47"/>
      <c r="F20" s="50"/>
      <c r="G20" s="54"/>
      <c r="H20" s="35"/>
      <c r="I20" s="35"/>
    </row>
    <row r="21" spans="1:9" x14ac:dyDescent="0.25">
      <c r="A21" s="87">
        <f t="shared" si="3"/>
        <v>600</v>
      </c>
      <c r="B21" s="89">
        <f t="shared" si="1"/>
        <v>6.2096791666666666</v>
      </c>
      <c r="C21" s="89">
        <f t="shared" si="4"/>
        <v>16.310123333333333</v>
      </c>
      <c r="D21" s="88">
        <f t="shared" si="2"/>
        <v>22.519802500000001</v>
      </c>
      <c r="E21" s="55"/>
      <c r="F21" s="52"/>
      <c r="G21" s="52"/>
      <c r="H21" s="52"/>
      <c r="I21" s="52"/>
    </row>
    <row r="22" spans="1:9" x14ac:dyDescent="0.25">
      <c r="A22" s="87">
        <f t="shared" si="3"/>
        <v>700</v>
      </c>
      <c r="B22" s="89">
        <f t="shared" si="1"/>
        <v>5.3225821428571436</v>
      </c>
      <c r="C22" s="89">
        <f t="shared" si="4"/>
        <v>16.310123333333333</v>
      </c>
      <c r="D22" s="88">
        <f t="shared" si="2"/>
        <v>21.632705476190477</v>
      </c>
      <c r="E22" s="55"/>
      <c r="F22" s="52"/>
      <c r="G22" s="52"/>
      <c r="H22" s="52"/>
      <c r="I22" s="52"/>
    </row>
    <row r="23" spans="1:9" x14ac:dyDescent="0.25">
      <c r="A23" s="87">
        <f t="shared" si="3"/>
        <v>800</v>
      </c>
      <c r="B23" s="89">
        <f t="shared" si="1"/>
        <v>4.6572593750000006</v>
      </c>
      <c r="C23" s="89">
        <f t="shared" si="4"/>
        <v>16.310123333333333</v>
      </c>
      <c r="D23" s="88">
        <f t="shared" si="2"/>
        <v>20.967382708333332</v>
      </c>
      <c r="E23" s="52"/>
      <c r="F23" s="52"/>
      <c r="G23" s="52"/>
      <c r="H23" s="52"/>
      <c r="I23" s="52"/>
    </row>
    <row r="24" spans="1:9" x14ac:dyDescent="0.25">
      <c r="A24" s="87">
        <f t="shared" si="3"/>
        <v>900</v>
      </c>
      <c r="B24" s="89">
        <f t="shared" si="1"/>
        <v>4.1397861111111114</v>
      </c>
      <c r="C24" s="89">
        <f t="shared" si="4"/>
        <v>16.310123333333333</v>
      </c>
      <c r="D24" s="88">
        <f t="shared" si="2"/>
        <v>20.449909444444444</v>
      </c>
      <c r="E24" s="52"/>
      <c r="F24" s="52"/>
      <c r="G24" s="52"/>
      <c r="H24" s="52"/>
      <c r="I24" s="52"/>
    </row>
    <row r="25" spans="1:9" x14ac:dyDescent="0.25">
      <c r="A25" s="87">
        <f t="shared" si="3"/>
        <v>1000</v>
      </c>
      <c r="B25" s="89">
        <f t="shared" si="1"/>
        <v>3.7258075000000002</v>
      </c>
      <c r="C25" s="89">
        <f t="shared" si="4"/>
        <v>16.310123333333333</v>
      </c>
      <c r="D25" s="88">
        <f t="shared" si="2"/>
        <v>20.035930833333332</v>
      </c>
      <c r="E25" s="52"/>
      <c r="F25" s="52"/>
      <c r="G25" s="52"/>
      <c r="H25" s="52"/>
      <c r="I25" s="52"/>
    </row>
    <row r="26" spans="1:9" x14ac:dyDescent="0.25">
      <c r="A26" s="87"/>
      <c r="B26" s="89"/>
      <c r="C26" s="89"/>
      <c r="D26" s="88"/>
      <c r="E26" s="52"/>
      <c r="F26" s="52"/>
      <c r="G26" s="52"/>
      <c r="H26" s="52"/>
      <c r="I26" s="52"/>
    </row>
    <row r="27" spans="1:9" x14ac:dyDescent="0.25">
      <c r="A27" s="346" t="s">
        <v>673</v>
      </c>
      <c r="B27" s="347"/>
      <c r="C27" s="347"/>
      <c r="D27" s="347"/>
      <c r="E27" s="52"/>
      <c r="F27" s="52"/>
      <c r="G27" s="52"/>
      <c r="H27" s="52"/>
      <c r="I27" s="52"/>
    </row>
    <row r="28" spans="1:9" x14ac:dyDescent="0.25">
      <c r="A28" s="85">
        <f>+Enc_TrEquip!G25</f>
        <v>150</v>
      </c>
      <c r="B28" s="95">
        <f>(($B$4*0.9)/(A28*$C$4))+((($B$4*1.1)/(2*A28))*($D$4/100))+((($B$4*1.1)/(2*A28)*($E$4/100)))</f>
        <v>24.838716666666667</v>
      </c>
      <c r="C28" s="95">
        <f>+C16</f>
        <v>16.310123333333333</v>
      </c>
      <c r="D28" s="88">
        <f t="shared" si="2"/>
        <v>41.14884</v>
      </c>
      <c r="E28" s="52"/>
      <c r="F28" s="52"/>
      <c r="G28" s="52"/>
      <c r="H28" s="52"/>
      <c r="I28" s="52"/>
    </row>
    <row r="29" spans="1:9" x14ac:dyDescent="0.25">
      <c r="A29" s="87"/>
      <c r="B29" s="89"/>
      <c r="C29" s="89"/>
      <c r="D29" s="88"/>
      <c r="E29" s="52"/>
      <c r="F29" s="52"/>
      <c r="G29" s="52"/>
      <c r="H29" s="52"/>
      <c r="I29" s="52"/>
    </row>
    <row r="30" spans="1:9" x14ac:dyDescent="0.25">
      <c r="A30" s="52"/>
      <c r="B30" s="52"/>
      <c r="C30" s="52"/>
      <c r="D30" s="52"/>
      <c r="E30" s="52"/>
      <c r="F30" s="52"/>
      <c r="G30" s="52"/>
      <c r="H30" s="52"/>
      <c r="I30" s="52"/>
    </row>
    <row r="31" spans="1:9" x14ac:dyDescent="0.25">
      <c r="A31" s="52"/>
      <c r="B31" s="52"/>
      <c r="C31" s="52"/>
      <c r="D31" s="52"/>
      <c r="E31" s="52"/>
      <c r="F31" s="52"/>
      <c r="G31" s="52"/>
      <c r="H31" s="52"/>
      <c r="I31" s="52"/>
    </row>
    <row r="32" spans="1:9" x14ac:dyDescent="0.25">
      <c r="A32" s="52"/>
      <c r="B32" s="52"/>
      <c r="C32" s="52"/>
      <c r="D32" s="52"/>
      <c r="E32" s="52"/>
      <c r="F32" s="52"/>
      <c r="G32" s="52"/>
      <c r="H32" s="52"/>
      <c r="I32" s="52"/>
    </row>
    <row r="33" spans="1:9" x14ac:dyDescent="0.25">
      <c r="A33" s="52"/>
      <c r="B33" s="52"/>
      <c r="C33" s="52"/>
      <c r="D33" s="52"/>
      <c r="E33" s="52"/>
      <c r="F33" s="52"/>
      <c r="G33" s="52"/>
      <c r="H33" s="52"/>
      <c r="I33" s="52"/>
    </row>
    <row r="34" spans="1:9" x14ac:dyDescent="0.25">
      <c r="A34" s="52"/>
      <c r="B34" s="52"/>
      <c r="C34" s="52"/>
      <c r="D34" s="52"/>
      <c r="E34" s="52"/>
      <c r="F34" s="52"/>
      <c r="G34" s="52"/>
      <c r="H34" s="52"/>
      <c r="I34" s="52"/>
    </row>
    <row r="35" spans="1:9" x14ac:dyDescent="0.25">
      <c r="A35" s="52"/>
      <c r="B35" s="52"/>
      <c r="C35" s="52"/>
      <c r="D35" s="52"/>
      <c r="E35" s="52"/>
      <c r="F35" s="52"/>
      <c r="G35" s="52"/>
      <c r="H35" s="52"/>
      <c r="I35" s="52"/>
    </row>
    <row r="36" spans="1:9" x14ac:dyDescent="0.25">
      <c r="A36" s="52"/>
      <c r="B36" s="52"/>
      <c r="C36" s="52"/>
      <c r="D36" s="52"/>
      <c r="E36" s="52"/>
      <c r="F36" s="52"/>
      <c r="G36" s="52"/>
      <c r="H36" s="52"/>
      <c r="I36" s="52"/>
    </row>
    <row r="37" spans="1:9" x14ac:dyDescent="0.25">
      <c r="A37" s="52"/>
      <c r="B37" s="52"/>
      <c r="C37" s="52"/>
      <c r="D37" s="52"/>
      <c r="E37" s="52"/>
      <c r="F37" s="52"/>
      <c r="G37" s="52"/>
      <c r="H37" s="52"/>
      <c r="I37" s="52"/>
    </row>
    <row r="38" spans="1:9" x14ac:dyDescent="0.25">
      <c r="A38" s="52"/>
      <c r="B38" s="52"/>
      <c r="C38" s="52"/>
      <c r="D38" s="52"/>
      <c r="E38" s="52"/>
      <c r="F38" s="52"/>
      <c r="G38" s="52"/>
      <c r="H38" s="52"/>
      <c r="I38" s="52"/>
    </row>
    <row r="39" spans="1:9" x14ac:dyDescent="0.25">
      <c r="A39" s="52"/>
      <c r="B39" s="52"/>
      <c r="C39" s="52"/>
      <c r="D39" s="52"/>
      <c r="E39" s="52"/>
      <c r="F39" s="52"/>
      <c r="G39" s="52"/>
      <c r="H39" s="52"/>
      <c r="I39" s="52"/>
    </row>
    <row r="40" spans="1:9" x14ac:dyDescent="0.25">
      <c r="A40" s="52"/>
      <c r="B40" s="52"/>
      <c r="C40" s="52"/>
      <c r="D40" s="52"/>
      <c r="E40" s="52"/>
      <c r="F40" s="52"/>
      <c r="G40" s="52"/>
      <c r="H40" s="52"/>
      <c r="I40" s="52"/>
    </row>
    <row r="41" spans="1:9" x14ac:dyDescent="0.25">
      <c r="A41" s="52"/>
      <c r="B41" s="52"/>
      <c r="C41" s="52"/>
      <c r="D41" s="52"/>
      <c r="E41" s="52"/>
      <c r="F41" s="52"/>
      <c r="G41" s="52"/>
      <c r="H41" s="52"/>
      <c r="I41" s="52"/>
    </row>
    <row r="42" spans="1:9" x14ac:dyDescent="0.25">
      <c r="A42" s="52"/>
      <c r="B42" s="52"/>
      <c r="C42" s="52"/>
      <c r="D42" s="52"/>
      <c r="E42" s="52"/>
      <c r="F42" s="52"/>
      <c r="G42" s="52"/>
      <c r="H42" s="52"/>
      <c r="I42" s="52"/>
    </row>
    <row r="43" spans="1:9" x14ac:dyDescent="0.25">
      <c r="A43" s="52"/>
      <c r="B43" s="52"/>
      <c r="C43" s="52"/>
      <c r="D43" s="52"/>
      <c r="E43" s="52"/>
      <c r="F43" s="52"/>
      <c r="G43" s="52"/>
      <c r="H43" s="52"/>
      <c r="I43" s="52"/>
    </row>
    <row r="44" spans="1:9" x14ac:dyDescent="0.25">
      <c r="A44" s="80"/>
      <c r="B44" s="80"/>
      <c r="C44" s="80"/>
      <c r="D44" s="80"/>
      <c r="E44" s="80"/>
      <c r="F44" s="80"/>
      <c r="G44" s="80"/>
      <c r="H44" s="80"/>
      <c r="I44" s="80"/>
    </row>
    <row r="45" spans="1:9" x14ac:dyDescent="0.25">
      <c r="A45" s="80"/>
      <c r="B45" s="80"/>
      <c r="C45" s="80"/>
      <c r="D45" s="80"/>
      <c r="E45" s="80"/>
      <c r="F45" s="80"/>
      <c r="G45" s="80"/>
      <c r="H45" s="80"/>
      <c r="I45" s="80"/>
    </row>
    <row r="46" spans="1:9" x14ac:dyDescent="0.25">
      <c r="A46" s="80"/>
      <c r="B46" s="80"/>
      <c r="C46" s="80"/>
      <c r="D46" s="80"/>
      <c r="E46" s="80"/>
      <c r="F46" s="80"/>
      <c r="G46" s="80"/>
      <c r="H46" s="80"/>
      <c r="I46" s="80"/>
    </row>
    <row r="47" spans="1:9" x14ac:dyDescent="0.25">
      <c r="A47" s="80"/>
      <c r="B47" s="80"/>
      <c r="C47" s="80"/>
      <c r="D47" s="80"/>
      <c r="E47" s="80"/>
      <c r="F47" s="80"/>
      <c r="G47" s="80"/>
      <c r="H47" s="80"/>
      <c r="I47" s="80"/>
    </row>
    <row r="48" spans="1:9" x14ac:dyDescent="0.25">
      <c r="A48" s="80"/>
      <c r="B48" s="80"/>
      <c r="C48" s="80"/>
      <c r="D48" s="80"/>
      <c r="E48" s="80"/>
      <c r="F48" s="80"/>
      <c r="G48" s="80"/>
      <c r="H48" s="80"/>
      <c r="I48" s="80"/>
    </row>
    <row r="49" spans="1:9" x14ac:dyDescent="0.25">
      <c r="A49" s="80"/>
      <c r="B49" s="80"/>
      <c r="C49" s="80"/>
      <c r="D49" s="80"/>
      <c r="E49" s="80"/>
      <c r="F49" s="80"/>
      <c r="G49" s="80"/>
      <c r="H49" s="80"/>
      <c r="I49" s="80"/>
    </row>
    <row r="50" spans="1:9" x14ac:dyDescent="0.25">
      <c r="A50" s="80"/>
      <c r="B50" s="80"/>
      <c r="C50" s="80"/>
      <c r="D50" s="80"/>
      <c r="E50" s="80"/>
      <c r="F50" s="80"/>
      <c r="G50" s="80"/>
      <c r="H50" s="80"/>
      <c r="I50" s="80"/>
    </row>
    <row r="51" spans="1:9" x14ac:dyDescent="0.25">
      <c r="A51" s="80"/>
      <c r="B51" s="80"/>
      <c r="C51" s="80"/>
      <c r="D51" s="80"/>
      <c r="E51" s="80"/>
      <c r="F51" s="80"/>
      <c r="G51" s="80"/>
      <c r="H51" s="80"/>
      <c r="I51" s="80"/>
    </row>
    <row r="52" spans="1:9" x14ac:dyDescent="0.25">
      <c r="A52" s="80"/>
      <c r="B52" s="80"/>
      <c r="C52" s="80"/>
      <c r="D52" s="80"/>
      <c r="E52" s="80"/>
      <c r="F52" s="80"/>
      <c r="G52" s="80"/>
      <c r="H52" s="80"/>
      <c r="I52" s="80"/>
    </row>
    <row r="53" spans="1:9" x14ac:dyDescent="0.25">
      <c r="A53" s="80"/>
      <c r="B53" s="80"/>
      <c r="C53" s="80"/>
      <c r="D53" s="80"/>
      <c r="E53" s="80"/>
      <c r="F53" s="80"/>
      <c r="G53" s="80"/>
      <c r="H53" s="80"/>
      <c r="I53" s="80"/>
    </row>
    <row r="54" spans="1:9" x14ac:dyDescent="0.25">
      <c r="A54" s="80"/>
      <c r="B54" s="80"/>
      <c r="C54" s="80"/>
      <c r="D54" s="80"/>
      <c r="E54" s="80"/>
      <c r="F54" s="80"/>
      <c r="G54" s="80"/>
      <c r="H54" s="80"/>
      <c r="I54" s="80"/>
    </row>
    <row r="55" spans="1:9" x14ac:dyDescent="0.25">
      <c r="A55" s="80"/>
      <c r="B55" s="80"/>
      <c r="C55" s="80"/>
      <c r="D55" s="80"/>
      <c r="E55" s="80"/>
      <c r="F55" s="80"/>
      <c r="G55" s="80"/>
      <c r="H55" s="80"/>
      <c r="I55" s="80"/>
    </row>
  </sheetData>
  <mergeCells count="4">
    <mergeCell ref="A27:D27"/>
    <mergeCell ref="B1:C1"/>
    <mergeCell ref="E1:F1"/>
    <mergeCell ref="H1:I1"/>
  </mergeCells>
  <hyperlinks>
    <hyperlink ref="A1" location="Indice!A1" display="Índice"/>
  </hyperlinks>
  <printOptions horizontalCentered="1" verticalCentered="1" gridLines="1"/>
  <pageMargins left="7.874015748031496E-2" right="7.874015748031496E-2" top="7.874015748031496E-2" bottom="7.874015748031496E-2" header="0.31496062992125984" footer="0.31496062992125984"/>
  <pageSetup fitToWidth="0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SheetLayoutView="100" workbookViewId="0">
      <pane ySplit="1" topLeftCell="A2" activePane="bottomLeft" state="frozen"/>
      <selection pane="bottomLeft" activeCell="D4" sqref="D4"/>
    </sheetView>
  </sheetViews>
  <sheetFormatPr defaultColWidth="8" defaultRowHeight="13.2" x14ac:dyDescent="0.25"/>
  <cols>
    <col min="1" max="1" width="25.44140625" customWidth="1"/>
    <col min="2" max="2" width="15.33203125" customWidth="1"/>
    <col min="3" max="8" width="10.6640625" style="19" customWidth="1"/>
  </cols>
  <sheetData>
    <row r="1" spans="1:10" ht="20.100000000000001" customHeight="1" x14ac:dyDescent="0.3">
      <c r="A1" s="299" t="s">
        <v>869</v>
      </c>
      <c r="B1" s="350" t="s">
        <v>613</v>
      </c>
      <c r="C1" s="350"/>
      <c r="D1" s="350"/>
      <c r="E1" s="350"/>
      <c r="F1" s="350"/>
      <c r="G1" s="350"/>
      <c r="H1" s="350"/>
      <c r="I1" s="18"/>
      <c r="J1" s="18"/>
    </row>
    <row r="2" spans="1:10" ht="20.100000000000001" customHeight="1" x14ac:dyDescent="0.25">
      <c r="A2" s="349" t="s">
        <v>802</v>
      </c>
      <c r="C2" s="17" t="s">
        <v>110</v>
      </c>
      <c r="D2" s="17" t="s">
        <v>426</v>
      </c>
      <c r="E2" s="17" t="s">
        <v>427</v>
      </c>
      <c r="F2" s="17" t="s">
        <v>196</v>
      </c>
      <c r="G2" s="17" t="s">
        <v>202</v>
      </c>
      <c r="H2" s="17" t="s">
        <v>203</v>
      </c>
    </row>
    <row r="3" spans="1:10" ht="20.100000000000001" customHeight="1" x14ac:dyDescent="0.25">
      <c r="A3" s="320"/>
      <c r="B3" s="3" t="s">
        <v>218</v>
      </c>
      <c r="C3" s="17" t="s">
        <v>204</v>
      </c>
      <c r="D3" s="17" t="s">
        <v>205</v>
      </c>
      <c r="E3" s="17" t="s">
        <v>207</v>
      </c>
      <c r="F3" s="17" t="s">
        <v>208</v>
      </c>
      <c r="G3" s="17" t="s">
        <v>208</v>
      </c>
      <c r="H3" s="17" t="s">
        <v>208</v>
      </c>
    </row>
    <row r="4" spans="1:10" ht="20.100000000000001" customHeight="1" x14ac:dyDescent="0.25">
      <c r="A4" s="3" t="s">
        <v>1041</v>
      </c>
      <c r="B4" s="3" t="s">
        <v>428</v>
      </c>
      <c r="C4" s="83">
        <f>+Trator35!H1</f>
        <v>35</v>
      </c>
      <c r="D4" s="83">
        <f>+Trator35!B4</f>
        <v>19690</v>
      </c>
      <c r="E4" s="83">
        <f>+G23</f>
        <v>250</v>
      </c>
      <c r="F4" s="96">
        <f>+Trator35!B28</f>
        <v>9.2543000000000006</v>
      </c>
      <c r="G4" s="96">
        <f>+Trator35!C28</f>
        <v>13.951033333333333</v>
      </c>
      <c r="H4" s="96">
        <f>+F4+G4</f>
        <v>23.205333333333336</v>
      </c>
    </row>
    <row r="5" spans="1:10" ht="20.100000000000001" customHeight="1" x14ac:dyDescent="0.25">
      <c r="A5" s="3" t="s">
        <v>1042</v>
      </c>
      <c r="B5" s="3" t="s">
        <v>428</v>
      </c>
      <c r="C5" s="83">
        <f>+Trator53!H1</f>
        <v>53</v>
      </c>
      <c r="D5" s="83">
        <f>+Trator53!B4</f>
        <v>28348</v>
      </c>
      <c r="E5" s="83">
        <f>+G24</f>
        <v>300</v>
      </c>
      <c r="F5" s="96">
        <f>+Trator53!B28</f>
        <v>11.102966666666667</v>
      </c>
      <c r="G5" s="96">
        <f>+Trator53!C28</f>
        <v>15.650053333333332</v>
      </c>
      <c r="H5" s="96">
        <f t="shared" ref="H5:H6" si="0">+F5+G5</f>
        <v>26.753019999999999</v>
      </c>
    </row>
    <row r="6" spans="1:10" s="18" customFormat="1" ht="20.100000000000001" customHeight="1" x14ac:dyDescent="0.25">
      <c r="A6" s="3" t="s">
        <v>1043</v>
      </c>
      <c r="B6" s="3" t="s">
        <v>428</v>
      </c>
      <c r="C6" s="83">
        <f>+Trator60!H1</f>
        <v>60</v>
      </c>
      <c r="D6" s="83">
        <f>+Trator60!B4</f>
        <v>31709</v>
      </c>
      <c r="E6" s="83">
        <f>+G25</f>
        <v>150</v>
      </c>
      <c r="F6" s="96">
        <f>+Trator60!B28</f>
        <v>24.838716666666667</v>
      </c>
      <c r="G6" s="96">
        <f>+Trator60!C28</f>
        <v>16.310123333333333</v>
      </c>
      <c r="H6" s="96">
        <f t="shared" si="0"/>
        <v>41.14884</v>
      </c>
    </row>
    <row r="7" spans="1:10" ht="20.100000000000001" customHeight="1" x14ac:dyDescent="0.25">
      <c r="A7" s="3" t="s">
        <v>4</v>
      </c>
    </row>
    <row r="8" spans="1:10" ht="20.100000000000001" customHeight="1" x14ac:dyDescent="0.25">
      <c r="A8" s="349" t="s">
        <v>808</v>
      </c>
      <c r="C8" s="17" t="s">
        <v>426</v>
      </c>
      <c r="D8" s="348" t="s">
        <v>431</v>
      </c>
      <c r="E8" s="17" t="s">
        <v>429</v>
      </c>
      <c r="F8" s="17" t="s">
        <v>430</v>
      </c>
      <c r="G8" s="81" t="s">
        <v>615</v>
      </c>
      <c r="H8" s="81" t="s">
        <v>615</v>
      </c>
    </row>
    <row r="9" spans="1:10" ht="20.100000000000001" customHeight="1" x14ac:dyDescent="0.25">
      <c r="A9" s="320"/>
      <c r="B9" s="3" t="s">
        <v>218</v>
      </c>
      <c r="C9" s="17" t="s">
        <v>205</v>
      </c>
      <c r="D9" s="321"/>
      <c r="E9" s="17" t="s">
        <v>419</v>
      </c>
      <c r="F9" s="17" t="s">
        <v>215</v>
      </c>
      <c r="G9" s="17" t="s">
        <v>208</v>
      </c>
      <c r="H9" s="17" t="s">
        <v>666</v>
      </c>
    </row>
    <row r="10" spans="1:10" ht="20.100000000000001" customHeight="1" x14ac:dyDescent="0.25">
      <c r="A10" s="3" t="s">
        <v>1023</v>
      </c>
      <c r="B10" s="3" t="s">
        <v>432</v>
      </c>
      <c r="C10" s="83">
        <f>+PrePoda!B8</f>
        <v>5000</v>
      </c>
      <c r="D10" s="96">
        <f>+PrePoda!H4</f>
        <v>2.0833333333333335</v>
      </c>
      <c r="E10" s="96">
        <f>+PrePoda!A32</f>
        <v>9</v>
      </c>
      <c r="F10" s="83">
        <f>+PrePoda!B32</f>
        <v>18.75</v>
      </c>
      <c r="G10" s="121">
        <f>+PrePoda!J32</f>
        <v>55.238716666666662</v>
      </c>
      <c r="H10" s="121">
        <f>+PrePoda!K32</f>
        <v>1035.7259374999999</v>
      </c>
    </row>
    <row r="11" spans="1:10" ht="20.100000000000001" customHeight="1" x14ac:dyDescent="0.25">
      <c r="A11" s="3" t="s">
        <v>1048</v>
      </c>
      <c r="B11" s="3" t="s">
        <v>432</v>
      </c>
      <c r="C11" s="83">
        <f>+TritSar!B8</f>
        <v>2500</v>
      </c>
      <c r="D11" s="96">
        <f>+TritSar!H4</f>
        <v>2.0833333333333335</v>
      </c>
      <c r="E11" s="96">
        <f>+TritSar!A32</f>
        <v>9</v>
      </c>
      <c r="F11" s="83">
        <f>+TritSar!B32</f>
        <v>18.75</v>
      </c>
      <c r="G11" s="121">
        <f>+TritSar!J32</f>
        <v>41.953019999999995</v>
      </c>
      <c r="H11" s="121">
        <f>+TritSar!K32</f>
        <v>786.61912499999994</v>
      </c>
    </row>
    <row r="12" spans="1:10" ht="20.100000000000001" customHeight="1" x14ac:dyDescent="0.25">
      <c r="A12" s="3" t="s">
        <v>1024</v>
      </c>
      <c r="B12" s="3" t="s">
        <v>432</v>
      </c>
      <c r="C12" s="83">
        <f>+LocAdubo!B8</f>
        <v>2500</v>
      </c>
      <c r="D12" s="96">
        <f>+LocAdubo!H4</f>
        <v>3.5714285714285712</v>
      </c>
      <c r="E12" s="96">
        <f>+LocAdubo!A32</f>
        <v>9</v>
      </c>
      <c r="F12" s="83">
        <f>+LocAdubo!B32</f>
        <v>32.142857142857139</v>
      </c>
      <c r="G12" s="121">
        <f>+LocAdubo!J32</f>
        <v>50.432173333333338</v>
      </c>
      <c r="H12" s="121">
        <f>+LocAdubo!K32</f>
        <v>1621.0341428571428</v>
      </c>
    </row>
    <row r="13" spans="1:10" ht="20.100000000000001" customHeight="1" x14ac:dyDescent="0.25">
      <c r="A13" s="3" t="s">
        <v>1049</v>
      </c>
      <c r="B13" s="3" t="s">
        <v>432</v>
      </c>
      <c r="C13" s="83">
        <f>+Escar!B8</f>
        <v>500</v>
      </c>
      <c r="D13" s="96">
        <f>+Escar!H4</f>
        <v>5.333333333333333</v>
      </c>
      <c r="E13" s="96">
        <f>+Escar!A32</f>
        <v>9</v>
      </c>
      <c r="F13" s="83">
        <f>+Escar!B32</f>
        <v>48</v>
      </c>
      <c r="G13" s="121">
        <f>+Escar!J32</f>
        <v>28.062394999999999</v>
      </c>
      <c r="H13" s="121">
        <f>+Escar!K32</f>
        <v>1346.99496</v>
      </c>
    </row>
    <row r="14" spans="1:10" ht="20.100000000000001" customHeight="1" x14ac:dyDescent="0.25">
      <c r="A14" s="3" t="s">
        <v>1050</v>
      </c>
      <c r="B14" s="3" t="s">
        <v>432</v>
      </c>
      <c r="C14" s="83">
        <f>+Pulv!B8</f>
        <v>7500</v>
      </c>
      <c r="D14" s="96">
        <f>+Pulv!H4</f>
        <v>12.5</v>
      </c>
      <c r="E14" s="96">
        <f>+Pulv!A32</f>
        <v>9</v>
      </c>
      <c r="F14" s="83">
        <f>+Pulv!B32</f>
        <v>112.5</v>
      </c>
      <c r="G14" s="121">
        <f>+Pulv!J32</f>
        <v>33.305333333333337</v>
      </c>
      <c r="H14" s="121">
        <f>+Pulv!K32</f>
        <v>3746.8500000000004</v>
      </c>
    </row>
    <row r="15" spans="1:10" ht="20.100000000000001" customHeight="1" x14ac:dyDescent="0.25">
      <c r="A15" s="3" t="s">
        <v>1025</v>
      </c>
      <c r="B15" s="3" t="s">
        <v>432</v>
      </c>
      <c r="C15" s="83">
        <f>+Despont!B8</f>
        <v>3000</v>
      </c>
      <c r="D15" s="96">
        <f>+Despont!H4</f>
        <v>4.166666666666667</v>
      </c>
      <c r="E15" s="96">
        <f>+Despont!A32</f>
        <v>9</v>
      </c>
      <c r="F15" s="83">
        <f>+Despont!B32</f>
        <v>37.5</v>
      </c>
      <c r="G15" s="121">
        <f>+Despont!J32</f>
        <v>36.473019999999998</v>
      </c>
      <c r="H15" s="121">
        <f>+Despont!K32</f>
        <v>1367.7382499999999</v>
      </c>
    </row>
    <row r="16" spans="1:10" ht="20.100000000000001" customHeight="1" x14ac:dyDescent="0.25">
      <c r="A16" s="3" t="s">
        <v>1026</v>
      </c>
      <c r="B16" s="3" t="s">
        <v>841</v>
      </c>
      <c r="C16" s="83">
        <f>+Reboq3.5!B8</f>
        <v>3470</v>
      </c>
      <c r="D16" s="96">
        <f>+Reboq3.5!A32</f>
        <v>4.5</v>
      </c>
      <c r="E16" s="96">
        <f>+Reboq3.5!A32</f>
        <v>4.5</v>
      </c>
      <c r="F16" s="83">
        <f>+Reboq3.5!B32</f>
        <v>45</v>
      </c>
      <c r="G16" s="121">
        <f>+Reboq3.5!J32</f>
        <v>36.603353333333331</v>
      </c>
      <c r="H16" s="121">
        <f>+Reboq3.5!K32</f>
        <v>1647.1508999999999</v>
      </c>
    </row>
    <row r="17" spans="1:8" s="196" customFormat="1" ht="20.100000000000001" customHeight="1" x14ac:dyDescent="0.25">
      <c r="A17" s="3" t="s">
        <v>1027</v>
      </c>
      <c r="B17" s="3" t="s">
        <v>842</v>
      </c>
      <c r="C17" s="83">
        <f>+Reboq4.5!B8</f>
        <v>4418</v>
      </c>
      <c r="D17" s="96">
        <f>+Reboq4.5!H4</f>
        <v>10</v>
      </c>
      <c r="E17" s="96">
        <f>+Reboq4.5!A32</f>
        <v>4.5</v>
      </c>
      <c r="F17" s="83">
        <f>+Reboq4.5!B32</f>
        <v>45</v>
      </c>
      <c r="G17" s="121">
        <f>+Reboq4.5!J32</f>
        <v>53.621973333333329</v>
      </c>
      <c r="H17" s="121">
        <f>+Reboq4.5!K32</f>
        <v>2412.9887999999996</v>
      </c>
    </row>
    <row r="18" spans="1:8" ht="20.100000000000001" customHeight="1" x14ac:dyDescent="0.25">
      <c r="A18" s="3" t="s">
        <v>4</v>
      </c>
    </row>
    <row r="19" spans="1:8" s="291" customFormat="1" ht="20.100000000000001" customHeight="1" x14ac:dyDescent="0.25">
      <c r="A19" s="304" t="s">
        <v>1051</v>
      </c>
      <c r="C19" s="290"/>
      <c r="D19" s="290"/>
      <c r="E19" s="290"/>
      <c r="F19" s="83">
        <f>SUM(F10:F18)</f>
        <v>357.64285714285711</v>
      </c>
      <c r="G19" s="290"/>
      <c r="H19" s="83">
        <f>SUM(H10:H18)</f>
        <v>13965.102115357144</v>
      </c>
    </row>
    <row r="20" spans="1:8" s="291" customFormat="1" ht="9" customHeight="1" x14ac:dyDescent="0.25">
      <c r="A20" s="304"/>
      <c r="C20" s="290"/>
      <c r="D20" s="290"/>
      <c r="E20" s="290"/>
      <c r="F20" s="83"/>
      <c r="G20" s="290"/>
      <c r="H20" s="290"/>
    </row>
    <row r="21" spans="1:8" ht="20.100000000000001" customHeight="1" x14ac:dyDescent="0.25">
      <c r="F21" s="17" t="s">
        <v>209</v>
      </c>
      <c r="G21" s="17" t="s">
        <v>433</v>
      </c>
    </row>
    <row r="22" spans="1:8" ht="20.100000000000001" customHeight="1" x14ac:dyDescent="0.25">
      <c r="F22" s="17" t="s">
        <v>207</v>
      </c>
      <c r="G22" s="294" t="s">
        <v>207</v>
      </c>
    </row>
    <row r="23" spans="1:8" ht="20.100000000000001" customHeight="1" x14ac:dyDescent="0.25">
      <c r="E23" s="17" t="s">
        <v>838</v>
      </c>
      <c r="F23" s="83">
        <f>+F14</f>
        <v>112.5</v>
      </c>
      <c r="G23" s="83">
        <v>250</v>
      </c>
    </row>
    <row r="24" spans="1:8" ht="20.100000000000001" customHeight="1" x14ac:dyDescent="0.25">
      <c r="E24" s="17" t="s">
        <v>839</v>
      </c>
      <c r="F24" s="83">
        <f>+F11+F13+F15+F16</f>
        <v>149.25</v>
      </c>
      <c r="G24" s="83">
        <v>300</v>
      </c>
    </row>
    <row r="25" spans="1:8" ht="20.100000000000001" customHeight="1" x14ac:dyDescent="0.25">
      <c r="E25" s="81" t="s">
        <v>840</v>
      </c>
      <c r="F25" s="101">
        <f>+F10+F12+F17</f>
        <v>95.892857142857139</v>
      </c>
      <c r="G25" s="101">
        <v>150</v>
      </c>
    </row>
    <row r="26" spans="1:8" ht="20.100000000000001" customHeight="1" x14ac:dyDescent="0.25">
      <c r="E26" s="305" t="s">
        <v>1052</v>
      </c>
      <c r="F26" s="156">
        <f>SUM(F23:F25)</f>
        <v>357.64285714285711</v>
      </c>
      <c r="G26" s="156">
        <f>SUM(G23:G25)</f>
        <v>700</v>
      </c>
    </row>
  </sheetData>
  <mergeCells count="4">
    <mergeCell ref="D8:D9"/>
    <mergeCell ref="A2:A3"/>
    <mergeCell ref="A8:A9"/>
    <mergeCell ref="B1:H1"/>
  </mergeCells>
  <hyperlinks>
    <hyperlink ref="A1" location="Indice!A1" display="Índice"/>
  </hyperlinks>
  <printOptions horizontalCentered="1" verticalCentered="1" gridLines="1"/>
  <pageMargins left="7.874015748031496E-2" right="7.874015748031496E-2" top="7.874015748031496E-2" bottom="7.874015748031496E-2" header="0.31496062992125984" footer="0.31496062992125984"/>
  <pageSetup fitToWidth="0" fitToHeight="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SheetLayoutView="100" workbookViewId="0">
      <pane ySplit="1" topLeftCell="A2" activePane="bottomLeft" state="frozen"/>
      <selection pane="bottomLeft" activeCell="C4" sqref="C4"/>
    </sheetView>
  </sheetViews>
  <sheetFormatPr defaultColWidth="8" defaultRowHeight="13.2" x14ac:dyDescent="0.25"/>
  <cols>
    <col min="1" max="1" width="21.109375" style="103" customWidth="1"/>
    <col min="2" max="7" width="10.6640625" style="103" customWidth="1"/>
    <col min="8" max="16384" width="8" style="103"/>
  </cols>
  <sheetData>
    <row r="1" spans="1:7" ht="20.100000000000001" customHeight="1" x14ac:dyDescent="0.3">
      <c r="A1" s="351" t="s">
        <v>17</v>
      </c>
      <c r="B1" s="347"/>
      <c r="C1" s="347"/>
      <c r="D1" s="347"/>
      <c r="E1" s="347"/>
      <c r="F1" s="347"/>
      <c r="G1" s="347"/>
    </row>
    <row r="2" spans="1:7" ht="20.100000000000001" customHeight="1" x14ac:dyDescent="0.25">
      <c r="A2" s="352" t="s">
        <v>616</v>
      </c>
      <c r="B2" s="104" t="s">
        <v>130</v>
      </c>
      <c r="C2" s="104" t="s">
        <v>27</v>
      </c>
      <c r="D2" s="104" t="s">
        <v>134</v>
      </c>
      <c r="E2" s="104" t="s">
        <v>171</v>
      </c>
      <c r="F2" s="104" t="s">
        <v>173</v>
      </c>
      <c r="G2" s="219" t="s">
        <v>434</v>
      </c>
    </row>
    <row r="3" spans="1:7" ht="20.100000000000001" customHeight="1" x14ac:dyDescent="0.25">
      <c r="A3" s="353"/>
      <c r="B3" s="104" t="s">
        <v>172</v>
      </c>
      <c r="C3" s="104" t="s">
        <v>419</v>
      </c>
      <c r="D3" s="104" t="s">
        <v>215</v>
      </c>
      <c r="E3" s="104" t="s">
        <v>208</v>
      </c>
      <c r="F3" s="104" t="s">
        <v>425</v>
      </c>
      <c r="G3" s="220" t="s">
        <v>666</v>
      </c>
    </row>
    <row r="4" spans="1:7" ht="20.100000000000001" customHeight="1" x14ac:dyDescent="0.25">
      <c r="A4" s="104" t="s">
        <v>175</v>
      </c>
      <c r="B4" s="104">
        <f>+Dados!B18</f>
        <v>125</v>
      </c>
      <c r="C4" s="104">
        <f>+Dados!B5</f>
        <v>9</v>
      </c>
      <c r="D4" s="104">
        <f>+B4*C4</f>
        <v>1125</v>
      </c>
      <c r="E4" s="106">
        <f>+Dados!C18</f>
        <v>10</v>
      </c>
      <c r="F4" s="104">
        <f>+B4*E4</f>
        <v>1250</v>
      </c>
      <c r="G4" s="219">
        <f>+C4*F4</f>
        <v>11250</v>
      </c>
    </row>
    <row r="5" spans="1:7" ht="20.100000000000001" customHeight="1" x14ac:dyDescent="0.25">
      <c r="A5" s="104" t="s">
        <v>435</v>
      </c>
      <c r="B5" s="104">
        <f>+Dados!B21</f>
        <v>100</v>
      </c>
      <c r="C5" s="104">
        <f>+Dados!B5</f>
        <v>9</v>
      </c>
      <c r="D5" s="104">
        <f t="shared" ref="D5:D6" si="0">+B5*C5</f>
        <v>900</v>
      </c>
      <c r="E5" s="106">
        <f>+Dados!C21</f>
        <v>5</v>
      </c>
      <c r="F5" s="104">
        <f t="shared" ref="F5:F6" si="1">+B5*E5</f>
        <v>500</v>
      </c>
      <c r="G5" s="219">
        <f t="shared" ref="G5:G6" si="2">+C5*F5</f>
        <v>4500</v>
      </c>
    </row>
    <row r="6" spans="1:7" ht="20.100000000000001" customHeight="1" x14ac:dyDescent="0.25">
      <c r="A6" s="104" t="s">
        <v>176</v>
      </c>
      <c r="B6" s="104">
        <f>+Dados!B24</f>
        <v>75</v>
      </c>
      <c r="C6" s="104">
        <f>+Dados!B5</f>
        <v>9</v>
      </c>
      <c r="D6" s="104">
        <f t="shared" si="0"/>
        <v>675</v>
      </c>
      <c r="E6" s="106">
        <f>+Dados!C24</f>
        <v>5</v>
      </c>
      <c r="F6" s="104">
        <f t="shared" si="1"/>
        <v>375</v>
      </c>
      <c r="G6" s="219">
        <f t="shared" si="2"/>
        <v>3375</v>
      </c>
    </row>
    <row r="7" spans="1:7" ht="20.100000000000001" customHeight="1" x14ac:dyDescent="0.25">
      <c r="A7" s="104" t="s">
        <v>4</v>
      </c>
    </row>
    <row r="8" spans="1:7" ht="20.100000000000001" customHeight="1" x14ac:dyDescent="0.25"/>
    <row r="9" spans="1:7" ht="20.100000000000001" customHeight="1" x14ac:dyDescent="0.25"/>
    <row r="10" spans="1:7" ht="20.100000000000001" customHeight="1" x14ac:dyDescent="0.25"/>
    <row r="11" spans="1:7" ht="20.100000000000001" customHeight="1" x14ac:dyDescent="0.25"/>
    <row r="12" spans="1:7" ht="20.100000000000001" customHeight="1" x14ac:dyDescent="0.25"/>
    <row r="13" spans="1:7" ht="20.100000000000001" customHeight="1" x14ac:dyDescent="0.25"/>
    <row r="14" spans="1:7" ht="20.100000000000001" customHeight="1" x14ac:dyDescent="0.25"/>
    <row r="15" spans="1:7" ht="20.100000000000001" customHeight="1" x14ac:dyDescent="0.25"/>
  </sheetData>
  <mergeCells count="2">
    <mergeCell ref="A1:G1"/>
    <mergeCell ref="A2:A3"/>
  </mergeCells>
  <printOptions horizontalCentered="1" gridLines="1"/>
  <pageMargins left="0.59055118110236227" right="0.59055118110236227" top="0.59055118110236227" bottom="0.59055118110236227" header="0.31496062992125984" footer="0.31496062992125984"/>
  <pageSetup fitToWidth="0" fitToHeight="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"/>
  <sheetViews>
    <sheetView zoomScale="90" zoomScaleNormal="90" zoomScaleSheetLayoutView="100" workbookViewId="0">
      <pane ySplit="3" topLeftCell="A4" activePane="bottomLeft" state="frozen"/>
      <selection pane="bottomLeft" activeCell="AN26" sqref="AN26"/>
    </sheetView>
  </sheetViews>
  <sheetFormatPr defaultColWidth="8" defaultRowHeight="13.2" x14ac:dyDescent="0.25"/>
  <cols>
    <col min="1" max="1" width="13.44140625" style="109" customWidth="1"/>
    <col min="2" max="4" width="4.33203125" style="82" customWidth="1"/>
    <col min="5" max="29" width="4.6640625" style="82" customWidth="1"/>
    <col min="30" max="37" width="4.33203125" style="82" customWidth="1"/>
    <col min="38" max="38" width="5.44140625" style="82" customWidth="1"/>
    <col min="39" max="16384" width="8" style="109"/>
  </cols>
  <sheetData>
    <row r="1" spans="1:38" ht="20.100000000000001" customHeight="1" x14ac:dyDescent="0.25">
      <c r="A1" s="107" t="s">
        <v>192</v>
      </c>
      <c r="R1" s="108" t="s">
        <v>436</v>
      </c>
    </row>
    <row r="2" spans="1:38" ht="20.100000000000001" customHeight="1" x14ac:dyDescent="0.25">
      <c r="A2" s="105" t="s">
        <v>437</v>
      </c>
      <c r="B2" s="108" t="s">
        <v>438</v>
      </c>
      <c r="C2" s="108" t="s">
        <v>439</v>
      </c>
      <c r="D2" s="108" t="s">
        <v>440</v>
      </c>
      <c r="E2" s="108" t="s">
        <v>441</v>
      </c>
      <c r="F2" s="108" t="s">
        <v>442</v>
      </c>
      <c r="G2" s="108" t="s">
        <v>443</v>
      </c>
      <c r="H2" s="108" t="s">
        <v>444</v>
      </c>
      <c r="I2" s="108" t="s">
        <v>445</v>
      </c>
      <c r="J2" s="108" t="s">
        <v>446</v>
      </c>
      <c r="K2" s="108" t="s">
        <v>447</v>
      </c>
      <c r="L2" s="108" t="s">
        <v>448</v>
      </c>
      <c r="M2" s="108" t="s">
        <v>449</v>
      </c>
      <c r="N2" s="108" t="s">
        <v>444</v>
      </c>
      <c r="O2" s="108" t="s">
        <v>445</v>
      </c>
      <c r="P2" s="108" t="s">
        <v>446</v>
      </c>
      <c r="Q2" s="108" t="s">
        <v>438</v>
      </c>
      <c r="R2" s="108" t="s">
        <v>439</v>
      </c>
      <c r="S2" s="108" t="s">
        <v>440</v>
      </c>
      <c r="T2" s="108" t="s">
        <v>438</v>
      </c>
      <c r="U2" s="108" t="s">
        <v>439</v>
      </c>
      <c r="V2" s="108" t="s">
        <v>440</v>
      </c>
      <c r="W2" s="108" t="s">
        <v>447</v>
      </c>
      <c r="X2" s="108" t="s">
        <v>448</v>
      </c>
      <c r="Y2" s="108" t="s">
        <v>449</v>
      </c>
      <c r="Z2" s="108" t="s">
        <v>450</v>
      </c>
      <c r="AA2" s="108" t="s">
        <v>451</v>
      </c>
      <c r="AB2" s="108" t="s">
        <v>452</v>
      </c>
      <c r="AC2" s="108" t="s">
        <v>453</v>
      </c>
      <c r="AD2" s="108" t="s">
        <v>454</v>
      </c>
      <c r="AE2" s="108" t="s">
        <v>455</v>
      </c>
      <c r="AF2" s="108" t="s">
        <v>456</v>
      </c>
      <c r="AG2" s="108" t="s">
        <v>457</v>
      </c>
      <c r="AH2" s="108" t="s">
        <v>458</v>
      </c>
      <c r="AI2" s="108" t="s">
        <v>459</v>
      </c>
      <c r="AJ2" s="108" t="s">
        <v>460</v>
      </c>
      <c r="AK2" s="108" t="s">
        <v>461</v>
      </c>
      <c r="AL2" s="108" t="s">
        <v>462</v>
      </c>
    </row>
    <row r="3" spans="1:38" ht="20.100000000000001" customHeight="1" x14ac:dyDescent="0.25">
      <c r="A3" s="105">
        <f>+Dados!B5</f>
        <v>9</v>
      </c>
      <c r="B3" s="108" t="s">
        <v>215</v>
      </c>
      <c r="C3" s="108" t="s">
        <v>215</v>
      </c>
      <c r="D3" s="108" t="s">
        <v>215</v>
      </c>
      <c r="E3" s="108" t="s">
        <v>215</v>
      </c>
      <c r="F3" s="108" t="s">
        <v>215</v>
      </c>
      <c r="G3" s="108" t="s">
        <v>215</v>
      </c>
      <c r="H3" s="108" t="s">
        <v>215</v>
      </c>
      <c r="I3" s="108" t="s">
        <v>215</v>
      </c>
      <c r="J3" s="108" t="s">
        <v>215</v>
      </c>
      <c r="K3" s="108" t="s">
        <v>215</v>
      </c>
      <c r="L3" s="108" t="s">
        <v>215</v>
      </c>
      <c r="M3" s="108" t="s">
        <v>215</v>
      </c>
      <c r="N3" s="108" t="s">
        <v>215</v>
      </c>
      <c r="O3" s="108" t="s">
        <v>215</v>
      </c>
      <c r="P3" s="108" t="s">
        <v>215</v>
      </c>
      <c r="Q3" s="108" t="s">
        <v>215</v>
      </c>
      <c r="R3" s="108" t="s">
        <v>215</v>
      </c>
      <c r="S3" s="108" t="s">
        <v>215</v>
      </c>
      <c r="T3" s="108" t="s">
        <v>215</v>
      </c>
      <c r="U3" s="108" t="s">
        <v>215</v>
      </c>
      <c r="V3" s="108" t="s">
        <v>215</v>
      </c>
      <c r="W3" s="108" t="s">
        <v>215</v>
      </c>
      <c r="X3" s="108" t="s">
        <v>215</v>
      </c>
      <c r="Y3" s="108" t="s">
        <v>215</v>
      </c>
      <c r="Z3" s="108" t="s">
        <v>215</v>
      </c>
      <c r="AA3" s="108" t="s">
        <v>215</v>
      </c>
      <c r="AB3" s="108" t="s">
        <v>215</v>
      </c>
      <c r="AC3" s="108" t="s">
        <v>215</v>
      </c>
      <c r="AD3" s="108" t="s">
        <v>215</v>
      </c>
      <c r="AE3" s="108" t="s">
        <v>215</v>
      </c>
      <c r="AF3" s="108" t="s">
        <v>215</v>
      </c>
      <c r="AG3" s="108" t="s">
        <v>215</v>
      </c>
      <c r="AH3" s="108" t="s">
        <v>215</v>
      </c>
      <c r="AI3" s="108" t="s">
        <v>215</v>
      </c>
      <c r="AJ3" s="108" t="s">
        <v>215</v>
      </c>
      <c r="AK3" s="108" t="s">
        <v>215</v>
      </c>
      <c r="AL3" s="108" t="s">
        <v>215</v>
      </c>
    </row>
    <row r="4" spans="1:38" ht="20.100000000000001" customHeight="1" x14ac:dyDescent="0.25">
      <c r="A4" s="110" t="s">
        <v>463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</row>
    <row r="5" spans="1:38" ht="20.100000000000001" customHeight="1" x14ac:dyDescent="0.25">
      <c r="A5" s="102" t="s">
        <v>5</v>
      </c>
      <c r="B5" s="112"/>
      <c r="C5" s="112"/>
      <c r="D5" s="112"/>
      <c r="E5" s="112">
        <f>+PrePoda!B32</f>
        <v>18.75</v>
      </c>
      <c r="F5" s="112"/>
      <c r="G5" s="111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1">
        <f>SUM(G5:AK5)</f>
        <v>0</v>
      </c>
    </row>
    <row r="6" spans="1:38" ht="20.100000000000001" customHeight="1" x14ac:dyDescent="0.25">
      <c r="A6" s="102" t="s">
        <v>464</v>
      </c>
      <c r="B6" s="112"/>
      <c r="C6" s="112"/>
      <c r="D6" s="112"/>
      <c r="E6" s="112"/>
      <c r="F6" s="112"/>
      <c r="G6" s="112"/>
      <c r="H6" s="111">
        <f>+TritSar!B32</f>
        <v>18.75</v>
      </c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1">
        <f t="shared" ref="AL6:AL12" si="0">SUM(G6:AK6)</f>
        <v>18.75</v>
      </c>
    </row>
    <row r="7" spans="1:38" ht="20.100000000000001" customHeight="1" x14ac:dyDescent="0.25">
      <c r="A7" s="102" t="s">
        <v>465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1">
        <f>+LocAdubo!B32</f>
        <v>32.142857142857139</v>
      </c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1">
        <f t="shared" si="0"/>
        <v>32.142857142857139</v>
      </c>
    </row>
    <row r="8" spans="1:38" ht="20.100000000000001" customHeight="1" x14ac:dyDescent="0.25">
      <c r="A8" s="102" t="s">
        <v>9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1">
        <f>+Escar!B32/2</f>
        <v>24</v>
      </c>
      <c r="N8" s="112"/>
      <c r="O8" s="112"/>
      <c r="P8" s="112"/>
      <c r="Q8" s="112"/>
      <c r="R8" s="111">
        <f>+Escar!B32/2</f>
        <v>24</v>
      </c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1">
        <f t="shared" si="0"/>
        <v>48</v>
      </c>
    </row>
    <row r="9" spans="1:38" ht="20.100000000000001" customHeight="1" x14ac:dyDescent="0.25">
      <c r="A9" s="102" t="s">
        <v>11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1">
        <f>+Pulv!B32/5</f>
        <v>22.5</v>
      </c>
      <c r="O9" s="112"/>
      <c r="P9" s="111">
        <f>+Pulv!B32/5</f>
        <v>22.5</v>
      </c>
      <c r="Q9" s="112"/>
      <c r="R9" s="111">
        <f>+Pulv!B32/5</f>
        <v>22.5</v>
      </c>
      <c r="S9" s="112"/>
      <c r="T9" s="111">
        <f>+Pulv!B32/5</f>
        <v>22.5</v>
      </c>
      <c r="U9" s="112"/>
      <c r="V9" s="111">
        <f>+Pulv!B32/5</f>
        <v>22.5</v>
      </c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1">
        <f t="shared" si="0"/>
        <v>112.5</v>
      </c>
    </row>
    <row r="10" spans="1:38" ht="20.100000000000001" customHeight="1" x14ac:dyDescent="0.25">
      <c r="A10" s="102" t="s">
        <v>13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1">
        <f>+Despont!B32/2</f>
        <v>18.75</v>
      </c>
      <c r="Q10" s="112"/>
      <c r="R10" s="112"/>
      <c r="S10" s="112"/>
      <c r="T10" s="111">
        <f>+Despont!B32/2</f>
        <v>18.75</v>
      </c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1">
        <f t="shared" si="0"/>
        <v>37.5</v>
      </c>
    </row>
    <row r="11" spans="1:38" ht="20.100000000000001" customHeight="1" x14ac:dyDescent="0.25">
      <c r="A11" s="102" t="s">
        <v>836</v>
      </c>
      <c r="B11" s="112"/>
      <c r="C11" s="112"/>
      <c r="D11" s="112"/>
      <c r="E11" s="112"/>
      <c r="F11" s="112"/>
      <c r="G11" s="112"/>
      <c r="H11" s="112"/>
      <c r="I11" s="112"/>
      <c r="J11" s="111">
        <f>+Reboq3.5!B32/20</f>
        <v>2.25</v>
      </c>
      <c r="K11" s="111">
        <f>+$J$11</f>
        <v>2.25</v>
      </c>
      <c r="L11" s="111">
        <f t="shared" ref="L11:AC11" si="1">+$J$11</f>
        <v>2.25</v>
      </c>
      <c r="M11" s="111">
        <f t="shared" si="1"/>
        <v>2.25</v>
      </c>
      <c r="N11" s="111">
        <f t="shared" si="1"/>
        <v>2.25</v>
      </c>
      <c r="O11" s="111">
        <f t="shared" si="1"/>
        <v>2.25</v>
      </c>
      <c r="P11" s="111">
        <f t="shared" si="1"/>
        <v>2.25</v>
      </c>
      <c r="Q11" s="111">
        <f t="shared" si="1"/>
        <v>2.25</v>
      </c>
      <c r="R11" s="111">
        <f t="shared" si="1"/>
        <v>2.25</v>
      </c>
      <c r="S11" s="111">
        <f t="shared" si="1"/>
        <v>2.25</v>
      </c>
      <c r="T11" s="111">
        <f t="shared" si="1"/>
        <v>2.25</v>
      </c>
      <c r="U11" s="111">
        <f t="shared" si="1"/>
        <v>2.25</v>
      </c>
      <c r="V11" s="111">
        <f t="shared" si="1"/>
        <v>2.25</v>
      </c>
      <c r="W11" s="111">
        <f t="shared" si="1"/>
        <v>2.25</v>
      </c>
      <c r="X11" s="111">
        <f t="shared" si="1"/>
        <v>2.25</v>
      </c>
      <c r="Y11" s="111">
        <f t="shared" si="1"/>
        <v>2.25</v>
      </c>
      <c r="Z11" s="111">
        <f t="shared" si="1"/>
        <v>2.25</v>
      </c>
      <c r="AA11" s="111">
        <f t="shared" si="1"/>
        <v>2.25</v>
      </c>
      <c r="AB11" s="111">
        <f t="shared" si="1"/>
        <v>2.25</v>
      </c>
      <c r="AC11" s="111">
        <f t="shared" si="1"/>
        <v>2.25</v>
      </c>
      <c r="AD11" s="111"/>
      <c r="AE11" s="112"/>
      <c r="AF11" s="112"/>
      <c r="AG11" s="112"/>
      <c r="AH11" s="112"/>
      <c r="AI11" s="112"/>
      <c r="AJ11" s="112"/>
      <c r="AK11" s="112"/>
      <c r="AL11" s="111">
        <f t="shared" si="0"/>
        <v>45</v>
      </c>
    </row>
    <row r="12" spans="1:38" ht="20.100000000000001" customHeight="1" x14ac:dyDescent="0.25">
      <c r="A12" s="102" t="s">
        <v>837</v>
      </c>
      <c r="B12" s="112"/>
      <c r="C12" s="112"/>
      <c r="D12" s="112"/>
      <c r="E12" s="112"/>
      <c r="F12" s="112"/>
      <c r="G12" s="112"/>
      <c r="H12" s="112"/>
      <c r="I12" s="112"/>
      <c r="J12" s="112">
        <f>+Reboq4.5!B32/20</f>
        <v>2.25</v>
      </c>
      <c r="K12" s="112">
        <f>+$J$12</f>
        <v>2.25</v>
      </c>
      <c r="L12" s="112">
        <f t="shared" ref="L12:AC12" si="2">+$J$12</f>
        <v>2.25</v>
      </c>
      <c r="M12" s="112">
        <f t="shared" si="2"/>
        <v>2.25</v>
      </c>
      <c r="N12" s="112">
        <f t="shared" si="2"/>
        <v>2.25</v>
      </c>
      <c r="O12" s="112">
        <f t="shared" si="2"/>
        <v>2.25</v>
      </c>
      <c r="P12" s="112">
        <f t="shared" si="2"/>
        <v>2.25</v>
      </c>
      <c r="Q12" s="112">
        <f t="shared" si="2"/>
        <v>2.25</v>
      </c>
      <c r="R12" s="112">
        <f t="shared" si="2"/>
        <v>2.25</v>
      </c>
      <c r="S12" s="112">
        <f t="shared" si="2"/>
        <v>2.25</v>
      </c>
      <c r="T12" s="112">
        <f t="shared" si="2"/>
        <v>2.25</v>
      </c>
      <c r="U12" s="112">
        <f t="shared" si="2"/>
        <v>2.25</v>
      </c>
      <c r="V12" s="112">
        <f t="shared" si="2"/>
        <v>2.25</v>
      </c>
      <c r="W12" s="112">
        <f t="shared" si="2"/>
        <v>2.25</v>
      </c>
      <c r="X12" s="112">
        <f t="shared" si="2"/>
        <v>2.25</v>
      </c>
      <c r="Y12" s="112">
        <f t="shared" si="2"/>
        <v>2.25</v>
      </c>
      <c r="Z12" s="112">
        <f t="shared" si="2"/>
        <v>2.25</v>
      </c>
      <c r="AA12" s="112">
        <f t="shared" si="2"/>
        <v>2.25</v>
      </c>
      <c r="AB12" s="112">
        <f t="shared" si="2"/>
        <v>2.25</v>
      </c>
      <c r="AC12" s="112">
        <f t="shared" si="2"/>
        <v>2.25</v>
      </c>
      <c r="AD12" s="112"/>
      <c r="AE12" s="112"/>
      <c r="AF12" s="112"/>
      <c r="AG12" s="112"/>
      <c r="AH12" s="112"/>
      <c r="AI12" s="112"/>
      <c r="AJ12" s="112"/>
      <c r="AK12" s="112"/>
      <c r="AL12" s="111">
        <f t="shared" si="0"/>
        <v>45</v>
      </c>
    </row>
    <row r="13" spans="1:38" ht="20.100000000000001" customHeight="1" x14ac:dyDescent="0.25">
      <c r="A13" s="102" t="s">
        <v>466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1"/>
    </row>
    <row r="14" spans="1:38" ht="20.100000000000001" customHeight="1" x14ac:dyDescent="0.25">
      <c r="A14" s="110" t="s">
        <v>467</v>
      </c>
      <c r="B14" s="111"/>
      <c r="C14" s="111"/>
      <c r="D14" s="111"/>
      <c r="E14" s="111">
        <f t="shared" ref="E14:F14" si="3">SUM(E5:E12)</f>
        <v>18.75</v>
      </c>
      <c r="F14" s="111">
        <f t="shared" si="3"/>
        <v>0</v>
      </c>
      <c r="G14" s="111">
        <f>SUM(G5:G12)</f>
        <v>0</v>
      </c>
      <c r="H14" s="111">
        <f t="shared" ref="H14:AC14" si="4">SUM(H5:H12)</f>
        <v>18.75</v>
      </c>
      <c r="I14" s="111">
        <f t="shared" si="4"/>
        <v>0</v>
      </c>
      <c r="J14" s="111">
        <f t="shared" si="4"/>
        <v>4.5</v>
      </c>
      <c r="K14" s="111">
        <f t="shared" si="4"/>
        <v>4.5</v>
      </c>
      <c r="L14" s="111">
        <f t="shared" si="4"/>
        <v>36.642857142857139</v>
      </c>
      <c r="M14" s="111">
        <f t="shared" si="4"/>
        <v>28.5</v>
      </c>
      <c r="N14" s="111">
        <f t="shared" si="4"/>
        <v>27</v>
      </c>
      <c r="O14" s="111">
        <f t="shared" si="4"/>
        <v>4.5</v>
      </c>
      <c r="P14" s="111">
        <f t="shared" si="4"/>
        <v>45.75</v>
      </c>
      <c r="Q14" s="111">
        <f t="shared" si="4"/>
        <v>4.5</v>
      </c>
      <c r="R14" s="111">
        <f t="shared" si="4"/>
        <v>51</v>
      </c>
      <c r="S14" s="111">
        <f t="shared" si="4"/>
        <v>4.5</v>
      </c>
      <c r="T14" s="111">
        <f t="shared" si="4"/>
        <v>45.75</v>
      </c>
      <c r="U14" s="111">
        <f t="shared" si="4"/>
        <v>4.5</v>
      </c>
      <c r="V14" s="111">
        <f t="shared" si="4"/>
        <v>27</v>
      </c>
      <c r="W14" s="111">
        <f t="shared" si="4"/>
        <v>4.5</v>
      </c>
      <c r="X14" s="111">
        <f t="shared" si="4"/>
        <v>4.5</v>
      </c>
      <c r="Y14" s="111">
        <f t="shared" si="4"/>
        <v>4.5</v>
      </c>
      <c r="Z14" s="111">
        <f t="shared" si="4"/>
        <v>4.5</v>
      </c>
      <c r="AA14" s="111">
        <f t="shared" si="4"/>
        <v>4.5</v>
      </c>
      <c r="AB14" s="111">
        <f t="shared" si="4"/>
        <v>4.5</v>
      </c>
      <c r="AC14" s="111">
        <f t="shared" si="4"/>
        <v>4.5</v>
      </c>
      <c r="AD14" s="111"/>
      <c r="AE14" s="111"/>
      <c r="AF14" s="111"/>
      <c r="AG14" s="111"/>
      <c r="AH14" s="111"/>
      <c r="AI14" s="111"/>
      <c r="AJ14" s="111"/>
      <c r="AK14" s="111"/>
      <c r="AL14" s="113">
        <f>SUM(AL5:AL12)</f>
        <v>338.89285714285711</v>
      </c>
    </row>
    <row r="15" spans="1:38" ht="9.9" customHeight="1" x14ac:dyDescent="0.25">
      <c r="A15" s="102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</row>
    <row r="16" spans="1:38" ht="20.100000000000001" customHeight="1" x14ac:dyDescent="0.25">
      <c r="A16" s="110" t="s">
        <v>617</v>
      </c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</row>
    <row r="17" spans="1:38" ht="20.100000000000001" customHeight="1" x14ac:dyDescent="0.25">
      <c r="A17" s="102" t="s">
        <v>468</v>
      </c>
      <c r="B17" s="112"/>
      <c r="C17" s="112"/>
      <c r="D17" s="112"/>
      <c r="E17" s="112">
        <f>+OpManual!D4/3</f>
        <v>375</v>
      </c>
      <c r="F17" s="112">
        <f>+OpManual!D4/3</f>
        <v>375</v>
      </c>
      <c r="G17" s="111">
        <f>+OpManual!D4/3</f>
        <v>375</v>
      </c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1">
        <f t="shared" ref="AL17:AL20" si="5">SUM(G17:AK17)</f>
        <v>375</v>
      </c>
    </row>
    <row r="18" spans="1:38" ht="20.100000000000001" customHeight="1" x14ac:dyDescent="0.25">
      <c r="A18" s="102" t="s">
        <v>435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1">
        <f>+OpManual!D5/3</f>
        <v>300</v>
      </c>
      <c r="R18" s="112">
        <f>+OpManual!D5/3</f>
        <v>300</v>
      </c>
      <c r="S18" s="112">
        <f>+OpManual!D5/3</f>
        <v>300</v>
      </c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1">
        <f t="shared" si="5"/>
        <v>900</v>
      </c>
    </row>
    <row r="19" spans="1:38" ht="20.100000000000001" customHeight="1" x14ac:dyDescent="0.25">
      <c r="A19" s="102" t="s">
        <v>466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1">
        <f t="shared" si="5"/>
        <v>0</v>
      </c>
    </row>
    <row r="20" spans="1:38" ht="20.100000000000001" customHeight="1" x14ac:dyDescent="0.25">
      <c r="A20" s="102" t="s">
        <v>176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1">
        <f>+OpManual!D6/3</f>
        <v>225</v>
      </c>
      <c r="AA20" s="112">
        <f>+OpManual!D6/3</f>
        <v>225</v>
      </c>
      <c r="AB20" s="112">
        <f>+OpManual!D6/3</f>
        <v>225</v>
      </c>
      <c r="AC20" s="112"/>
      <c r="AD20" s="112"/>
      <c r="AE20" s="112"/>
      <c r="AF20" s="112"/>
      <c r="AG20" s="112"/>
      <c r="AH20" s="112"/>
      <c r="AI20" s="112"/>
      <c r="AJ20" s="112"/>
      <c r="AK20" s="112"/>
      <c r="AL20" s="111">
        <f t="shared" si="5"/>
        <v>675</v>
      </c>
    </row>
    <row r="21" spans="1:38" ht="20.100000000000001" customHeight="1" x14ac:dyDescent="0.25">
      <c r="A21" s="110" t="s">
        <v>469</v>
      </c>
      <c r="B21" s="111"/>
      <c r="C21" s="111"/>
      <c r="D21" s="111"/>
      <c r="E21" s="111">
        <f>SUM(E17:E20)</f>
        <v>375</v>
      </c>
      <c r="F21" s="111">
        <f t="shared" ref="F21:G21" si="6">SUM(F17:F20)</f>
        <v>375</v>
      </c>
      <c r="G21" s="111">
        <f t="shared" si="6"/>
        <v>375</v>
      </c>
      <c r="H21" s="111"/>
      <c r="I21" s="111"/>
      <c r="J21" s="111"/>
      <c r="K21" s="111"/>
      <c r="L21" s="111"/>
      <c r="M21" s="111"/>
      <c r="N21" s="111"/>
      <c r="O21" s="111"/>
      <c r="P21" s="111"/>
      <c r="Q21" s="111">
        <f t="shared" ref="Q21:S21" si="7">SUM(Q17:Q20)</f>
        <v>300</v>
      </c>
      <c r="R21" s="111">
        <f t="shared" si="7"/>
        <v>300</v>
      </c>
      <c r="S21" s="111">
        <f t="shared" si="7"/>
        <v>300</v>
      </c>
      <c r="T21" s="111"/>
      <c r="U21" s="111"/>
      <c r="V21" s="111"/>
      <c r="W21" s="111"/>
      <c r="X21" s="111"/>
      <c r="Y21" s="111"/>
      <c r="Z21" s="111">
        <f t="shared" ref="Z21:AB21" si="8">SUM(Z17:Z20)</f>
        <v>225</v>
      </c>
      <c r="AA21" s="111">
        <f t="shared" si="8"/>
        <v>225</v>
      </c>
      <c r="AB21" s="111">
        <f t="shared" si="8"/>
        <v>225</v>
      </c>
      <c r="AC21" s="111"/>
      <c r="AD21" s="111"/>
      <c r="AE21" s="111"/>
      <c r="AF21" s="111"/>
      <c r="AG21" s="111"/>
      <c r="AH21" s="111"/>
      <c r="AI21" s="111"/>
      <c r="AJ21" s="111"/>
      <c r="AK21" s="111"/>
      <c r="AL21" s="113">
        <v>766.7</v>
      </c>
    </row>
    <row r="22" spans="1:38" ht="9.9" customHeight="1" x14ac:dyDescent="0.25">
      <c r="A22" s="102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</row>
    <row r="23" spans="1:38" ht="20.100000000000001" customHeight="1" x14ac:dyDescent="0.25">
      <c r="A23" s="110" t="s">
        <v>20</v>
      </c>
      <c r="B23" s="111"/>
      <c r="C23" s="111"/>
      <c r="D23" s="111"/>
      <c r="E23" s="111">
        <f>+E14+E21</f>
        <v>393.75</v>
      </c>
      <c r="F23" s="111">
        <f t="shared" ref="F23:AC23" si="9">+F14+F21</f>
        <v>375</v>
      </c>
      <c r="G23" s="111">
        <f t="shared" si="9"/>
        <v>375</v>
      </c>
      <c r="H23" s="111">
        <f t="shared" si="9"/>
        <v>18.75</v>
      </c>
      <c r="I23" s="111">
        <f t="shared" si="9"/>
        <v>0</v>
      </c>
      <c r="J23" s="111">
        <f t="shared" si="9"/>
        <v>4.5</v>
      </c>
      <c r="K23" s="111">
        <f t="shared" si="9"/>
        <v>4.5</v>
      </c>
      <c r="L23" s="111">
        <f t="shared" si="9"/>
        <v>36.642857142857139</v>
      </c>
      <c r="M23" s="111">
        <f t="shared" si="9"/>
        <v>28.5</v>
      </c>
      <c r="N23" s="111">
        <f t="shared" si="9"/>
        <v>27</v>
      </c>
      <c r="O23" s="111">
        <f t="shared" si="9"/>
        <v>4.5</v>
      </c>
      <c r="P23" s="111">
        <f t="shared" si="9"/>
        <v>45.75</v>
      </c>
      <c r="Q23" s="111">
        <f t="shared" si="9"/>
        <v>304.5</v>
      </c>
      <c r="R23" s="111">
        <f t="shared" si="9"/>
        <v>351</v>
      </c>
      <c r="S23" s="111">
        <f t="shared" si="9"/>
        <v>304.5</v>
      </c>
      <c r="T23" s="111">
        <f t="shared" si="9"/>
        <v>45.75</v>
      </c>
      <c r="U23" s="111">
        <f t="shared" si="9"/>
        <v>4.5</v>
      </c>
      <c r="V23" s="111">
        <f t="shared" si="9"/>
        <v>27</v>
      </c>
      <c r="W23" s="111">
        <f t="shared" si="9"/>
        <v>4.5</v>
      </c>
      <c r="X23" s="111">
        <f t="shared" si="9"/>
        <v>4.5</v>
      </c>
      <c r="Y23" s="111">
        <f t="shared" si="9"/>
        <v>4.5</v>
      </c>
      <c r="Z23" s="111">
        <f t="shared" si="9"/>
        <v>229.5</v>
      </c>
      <c r="AA23" s="111">
        <f t="shared" si="9"/>
        <v>229.5</v>
      </c>
      <c r="AB23" s="111">
        <f t="shared" si="9"/>
        <v>229.5</v>
      </c>
      <c r="AC23" s="111">
        <f t="shared" si="9"/>
        <v>4.5</v>
      </c>
      <c r="AD23" s="111"/>
      <c r="AE23" s="111"/>
      <c r="AF23" s="111"/>
      <c r="AG23" s="111"/>
      <c r="AH23" s="111"/>
      <c r="AI23" s="111"/>
      <c r="AJ23" s="111"/>
      <c r="AK23" s="111"/>
      <c r="AL23" s="113">
        <f>SUM(AL17:AL21)</f>
        <v>2716.7</v>
      </c>
    </row>
    <row r="24" spans="1:38" ht="20.100000000000001" customHeight="1" x14ac:dyDescent="0.25">
      <c r="A24" s="110" t="s">
        <v>618</v>
      </c>
      <c r="E24" s="112">
        <f>+E21/8/10+1</f>
        <v>5.6875</v>
      </c>
      <c r="F24" s="112">
        <f t="shared" ref="F24:G24" si="10">+F21/8/10+1</f>
        <v>5.6875</v>
      </c>
      <c r="G24" s="112">
        <f t="shared" si="10"/>
        <v>5.6875</v>
      </c>
      <c r="Q24" s="112">
        <f t="shared" ref="Q24:S24" si="11">+Q21/8/10+1</f>
        <v>4.75</v>
      </c>
      <c r="R24" s="112">
        <f t="shared" si="11"/>
        <v>4.75</v>
      </c>
      <c r="S24" s="112">
        <f t="shared" si="11"/>
        <v>4.75</v>
      </c>
      <c r="Z24" s="112">
        <f t="shared" ref="Z24:AB24" si="12">+Z21/8/10+1</f>
        <v>3.8125</v>
      </c>
      <c r="AA24" s="112">
        <f t="shared" si="12"/>
        <v>3.8125</v>
      </c>
      <c r="AB24" s="112">
        <f t="shared" si="12"/>
        <v>3.8125</v>
      </c>
    </row>
    <row r="25" spans="1:38" ht="20.100000000000001" customHeight="1" x14ac:dyDescent="0.25"/>
    <row r="26" spans="1:38" ht="20.100000000000001" customHeight="1" x14ac:dyDescent="0.25"/>
    <row r="27" spans="1:38" ht="20.100000000000001" customHeight="1" x14ac:dyDescent="0.25"/>
    <row r="28" spans="1:38" ht="20.100000000000001" customHeight="1" x14ac:dyDescent="0.25"/>
  </sheetData>
  <printOptions horizontalCentered="1" verticalCentered="1" gridLines="1"/>
  <pageMargins left="3.937007874015748E-2" right="3.937007874015748E-2" top="0.39370078740157483" bottom="0.39370078740157483" header="0.31496062992125984" footer="0.31496062992125984"/>
  <pageSetup scale="75" fitToWidth="0" fitToHeight="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8"/>
  <sheetViews>
    <sheetView zoomScaleSheetLayoutView="100" workbookViewId="0">
      <pane xSplit="1" ySplit="2" topLeftCell="Q3" activePane="bottomRight" state="frozen"/>
      <selection pane="topRight" activeCell="B1" sqref="B1"/>
      <selection pane="bottomLeft" activeCell="A3" sqref="A3"/>
      <selection pane="bottomRight" activeCell="AP21" sqref="AP21"/>
    </sheetView>
  </sheetViews>
  <sheetFormatPr defaultColWidth="8" defaultRowHeight="13.2" x14ac:dyDescent="0.25"/>
  <cols>
    <col min="1" max="1" width="17.5546875" style="130" customWidth="1"/>
    <col min="2" max="2" width="5.88671875" style="101" customWidth="1"/>
    <col min="3" max="3" width="4" style="101" customWidth="1"/>
    <col min="4" max="4" width="7.88671875" style="101" customWidth="1"/>
    <col min="5" max="6" width="6.6640625" style="122" customWidth="1"/>
    <col min="7" max="7" width="6.44140625" style="122" customWidth="1"/>
    <col min="8" max="8" width="7.33203125" style="122" customWidth="1"/>
    <col min="9" max="9" width="9.109375" style="122" customWidth="1"/>
    <col min="10" max="10" width="9.33203125" style="122" customWidth="1"/>
    <col min="11" max="11" width="8.6640625" style="122" customWidth="1"/>
    <col min="12" max="12" width="5.6640625" style="152" customWidth="1"/>
    <col min="13" max="13" width="6.33203125" style="130" customWidth="1"/>
    <col min="14" max="14" width="6.88671875" style="130" customWidth="1"/>
    <col min="15" max="15" width="6.5546875" style="130" customWidth="1"/>
    <col min="16" max="16" width="9" style="130" customWidth="1"/>
    <col min="17" max="17" width="8.44140625" style="130" customWidth="1"/>
    <col min="18" max="18" width="8.33203125" style="130" customWidth="1"/>
    <col min="19" max="19" width="5.44140625" style="130" customWidth="1"/>
    <col min="20" max="20" width="5.33203125" style="130" customWidth="1"/>
    <col min="21" max="21" width="6.5546875" style="130" customWidth="1"/>
    <col min="22" max="22" width="5.6640625" style="130" customWidth="1"/>
    <col min="23" max="23" width="8.109375" style="130" customWidth="1"/>
    <col min="24" max="25" width="7.6640625" style="130" customWidth="1"/>
    <col min="26" max="26" width="6.33203125" style="152" customWidth="1"/>
    <col min="27" max="27" width="5.33203125" style="130" customWidth="1"/>
    <col min="28" max="28" width="5.6640625" style="130" customWidth="1"/>
    <col min="29" max="29" width="6.44140625" style="130" customWidth="1"/>
    <col min="30" max="31" width="7.6640625" style="130" customWidth="1"/>
    <col min="32" max="32" width="7.88671875" style="130" customWidth="1"/>
    <col min="33" max="33" width="14.88671875" style="130" customWidth="1"/>
    <col min="34" max="34" width="9.6640625" style="130" customWidth="1"/>
    <col min="35" max="35" width="10" style="130" customWidth="1"/>
    <col min="36" max="37" width="8" style="130"/>
    <col min="38" max="38" width="10.109375" style="130" customWidth="1"/>
    <col min="39" max="39" width="15.33203125" style="130" customWidth="1"/>
    <col min="40" max="40" width="7.33203125" style="130" customWidth="1"/>
    <col min="41" max="41" width="11.5546875" style="130" customWidth="1"/>
    <col min="42" max="42" width="9.88671875" style="130" customWidth="1"/>
    <col min="43" max="16384" width="8" style="130"/>
  </cols>
  <sheetData>
    <row r="1" spans="1:44" ht="37.950000000000003" customHeight="1" x14ac:dyDescent="0.25">
      <c r="A1" s="128" t="s">
        <v>437</v>
      </c>
      <c r="B1" s="357" t="s">
        <v>470</v>
      </c>
      <c r="C1" s="358"/>
      <c r="D1" s="358"/>
      <c r="E1" s="359" t="s">
        <v>471</v>
      </c>
      <c r="F1" s="360"/>
      <c r="G1" s="360"/>
      <c r="H1" s="360"/>
      <c r="I1" s="360"/>
      <c r="J1" s="360"/>
      <c r="K1" s="360"/>
      <c r="L1" s="361" t="s">
        <v>1040</v>
      </c>
      <c r="M1" s="360"/>
      <c r="N1" s="360"/>
      <c r="O1" s="360"/>
      <c r="P1" s="360"/>
      <c r="Q1" s="360"/>
      <c r="R1" s="360"/>
      <c r="S1" s="361" t="s">
        <v>1039</v>
      </c>
      <c r="T1" s="360"/>
      <c r="U1" s="360"/>
      <c r="V1" s="360"/>
      <c r="W1" s="360"/>
      <c r="X1" s="360"/>
      <c r="Y1" s="360"/>
      <c r="Z1" s="361" t="s">
        <v>1038</v>
      </c>
      <c r="AA1" s="360"/>
      <c r="AB1" s="360"/>
      <c r="AC1" s="360"/>
      <c r="AD1" s="360"/>
      <c r="AE1" s="360"/>
      <c r="AF1" s="360"/>
      <c r="AG1" s="129" t="s">
        <v>632</v>
      </c>
      <c r="AH1" s="354" t="s">
        <v>633</v>
      </c>
      <c r="AI1" s="354"/>
      <c r="AJ1" s="354"/>
      <c r="AK1" s="354"/>
      <c r="AL1" s="354"/>
      <c r="AM1" s="355" t="s">
        <v>634</v>
      </c>
      <c r="AN1" s="356"/>
      <c r="AO1" s="356"/>
      <c r="AP1" s="356"/>
    </row>
    <row r="2" spans="1:44" ht="20.100000000000001" customHeight="1" x14ac:dyDescent="0.25">
      <c r="A2" s="131">
        <f>+Dados!B5</f>
        <v>9</v>
      </c>
      <c r="B2" s="156" t="s">
        <v>207</v>
      </c>
      <c r="C2" s="156" t="s">
        <v>47</v>
      </c>
      <c r="D2" s="156" t="s">
        <v>637</v>
      </c>
      <c r="E2" s="155" t="s">
        <v>207</v>
      </c>
      <c r="F2" s="155" t="s">
        <v>473</v>
      </c>
      <c r="G2" s="155" t="s">
        <v>474</v>
      </c>
      <c r="H2" s="155" t="s">
        <v>475</v>
      </c>
      <c r="I2" s="155" t="s">
        <v>628</v>
      </c>
      <c r="J2" s="155" t="s">
        <v>629</v>
      </c>
      <c r="K2" s="155" t="s">
        <v>630</v>
      </c>
      <c r="L2" s="156" t="s">
        <v>207</v>
      </c>
      <c r="M2" s="121" t="s">
        <v>473</v>
      </c>
      <c r="N2" s="121" t="s">
        <v>474</v>
      </c>
      <c r="O2" s="121" t="s">
        <v>475</v>
      </c>
      <c r="P2" s="139" t="s">
        <v>636</v>
      </c>
      <c r="Q2" s="139" t="s">
        <v>637</v>
      </c>
      <c r="R2" s="139" t="s">
        <v>638</v>
      </c>
      <c r="S2" s="156" t="s">
        <v>207</v>
      </c>
      <c r="T2" s="121" t="s">
        <v>476</v>
      </c>
      <c r="U2" s="121" t="s">
        <v>472</v>
      </c>
      <c r="V2" s="121" t="s">
        <v>477</v>
      </c>
      <c r="W2" s="139" t="s">
        <v>636</v>
      </c>
      <c r="X2" s="139" t="s">
        <v>637</v>
      </c>
      <c r="Y2" s="139" t="s">
        <v>638</v>
      </c>
      <c r="Z2" s="156" t="s">
        <v>207</v>
      </c>
      <c r="AA2" s="121" t="s">
        <v>476</v>
      </c>
      <c r="AB2" s="121" t="s">
        <v>472</v>
      </c>
      <c r="AC2" s="121" t="s">
        <v>477</v>
      </c>
      <c r="AD2" s="139" t="s">
        <v>636</v>
      </c>
      <c r="AE2" s="139" t="s">
        <v>637</v>
      </c>
      <c r="AF2" s="139" t="s">
        <v>638</v>
      </c>
      <c r="AG2" s="121" t="s">
        <v>666</v>
      </c>
      <c r="AH2" s="136" t="s">
        <v>478</v>
      </c>
      <c r="AI2" s="136" t="s">
        <v>184</v>
      </c>
      <c r="AJ2" s="136" t="s">
        <v>479</v>
      </c>
      <c r="AK2" s="136" t="s">
        <v>104</v>
      </c>
      <c r="AL2" s="136" t="s">
        <v>637</v>
      </c>
      <c r="AM2" s="136" t="s">
        <v>478</v>
      </c>
      <c r="AN2" s="136" t="s">
        <v>479</v>
      </c>
      <c r="AO2" s="136" t="s">
        <v>796</v>
      </c>
      <c r="AP2" s="136" t="s">
        <v>666</v>
      </c>
    </row>
    <row r="3" spans="1:44" ht="20.100000000000001" customHeight="1" x14ac:dyDescent="0.25">
      <c r="A3" s="134" t="s">
        <v>1053</v>
      </c>
      <c r="E3" s="83">
        <f>+PrePoda!B32</f>
        <v>18.75</v>
      </c>
      <c r="F3" s="121">
        <f>+PrePoda!C32</f>
        <v>28.4</v>
      </c>
      <c r="G3" s="121">
        <f>+PrePoda!D32</f>
        <v>2</v>
      </c>
      <c r="H3" s="121">
        <f>+F3+G3</f>
        <v>30.4</v>
      </c>
      <c r="I3" s="121">
        <f>+E3*F3</f>
        <v>532.5</v>
      </c>
      <c r="J3" s="121">
        <f>+E3*G3</f>
        <v>37.5</v>
      </c>
      <c r="K3" s="121">
        <f>+I3+J3</f>
        <v>570</v>
      </c>
      <c r="L3" s="83"/>
      <c r="M3" s="121"/>
      <c r="N3" s="121"/>
      <c r="O3" s="121"/>
      <c r="P3" s="121"/>
      <c r="Q3" s="121"/>
      <c r="R3" s="121"/>
      <c r="S3" s="83"/>
      <c r="T3" s="121"/>
      <c r="U3" s="121"/>
      <c r="V3" s="121"/>
      <c r="W3" s="121"/>
      <c r="X3" s="121"/>
      <c r="Y3" s="121"/>
      <c r="Z3" s="83">
        <f>+PrePoda!B32</f>
        <v>18.75</v>
      </c>
      <c r="AA3" s="121">
        <f>+Trator60!B28</f>
        <v>24.838716666666667</v>
      </c>
      <c r="AB3" s="121">
        <f>+Trator60!C28</f>
        <v>16.310123333333333</v>
      </c>
      <c r="AC3" s="121">
        <f>+AA3+AB3</f>
        <v>41.14884</v>
      </c>
      <c r="AD3" s="121">
        <f>+Z3*AA3</f>
        <v>465.72593749999999</v>
      </c>
      <c r="AE3" s="121">
        <f>+Z3*AB3</f>
        <v>305.81481250000002</v>
      </c>
      <c r="AF3" s="121">
        <f>+AD3+AE3</f>
        <v>771.54075</v>
      </c>
      <c r="AG3" s="83">
        <f>+K3+AF3</f>
        <v>1341.5407500000001</v>
      </c>
      <c r="AH3" s="136" t="s">
        <v>656</v>
      </c>
      <c r="AI3" s="136">
        <f>+Dados!B30</f>
        <v>6</v>
      </c>
      <c r="AJ3" s="136">
        <f>+Dados!C30</f>
        <v>5</v>
      </c>
      <c r="AK3" s="136">
        <f>+Dados!D30</f>
        <v>1</v>
      </c>
      <c r="AL3" s="136">
        <f>+Dados!F30</f>
        <v>270</v>
      </c>
      <c r="AM3" s="138" t="s">
        <v>480</v>
      </c>
      <c r="AN3" s="136">
        <f>+Dados!C9</f>
        <v>2</v>
      </c>
      <c r="AO3" s="136">
        <f>+Dados!B9</f>
        <v>750</v>
      </c>
      <c r="AP3" s="136">
        <f>+Dados!E9</f>
        <v>27300</v>
      </c>
    </row>
    <row r="4" spans="1:44" ht="20.100000000000001" customHeight="1" x14ac:dyDescent="0.25">
      <c r="A4" s="134" t="s">
        <v>1054</v>
      </c>
      <c r="E4" s="83">
        <f>+TritSar!B32</f>
        <v>18.75</v>
      </c>
      <c r="F4" s="121">
        <f>+TritSar!C32</f>
        <v>14.2</v>
      </c>
      <c r="G4" s="121">
        <f>+TritSar!D32</f>
        <v>1</v>
      </c>
      <c r="H4" s="121">
        <f t="shared" ref="H4:H10" si="0">+F4+G4</f>
        <v>15.2</v>
      </c>
      <c r="I4" s="121">
        <f t="shared" ref="I4:I10" si="1">+E4*F4</f>
        <v>266.25</v>
      </c>
      <c r="J4" s="121">
        <f t="shared" ref="J4:J10" si="2">+E4*G4</f>
        <v>18.75</v>
      </c>
      <c r="K4" s="121">
        <f t="shared" ref="K4:K10" si="3">+I4+J4</f>
        <v>285</v>
      </c>
      <c r="S4" s="83">
        <f>+TritSar!B32</f>
        <v>18.75</v>
      </c>
      <c r="T4" s="121">
        <f>+Trator53!B28</f>
        <v>11.102966666666667</v>
      </c>
      <c r="U4" s="121">
        <f>+Trator53!C28</f>
        <v>15.650053333333332</v>
      </c>
      <c r="V4" s="121">
        <f>+T4+U4</f>
        <v>26.753019999999999</v>
      </c>
      <c r="W4" s="121">
        <f>+S4*T4</f>
        <v>208.18062500000002</v>
      </c>
      <c r="X4" s="121">
        <f>+S4*U4</f>
        <v>293.43849999999998</v>
      </c>
      <c r="Y4" s="121">
        <f>+W4+X4</f>
        <v>501.619125</v>
      </c>
      <c r="Z4" s="83"/>
      <c r="AA4" s="121"/>
      <c r="AB4" s="121"/>
      <c r="AC4" s="121"/>
      <c r="AD4" s="121"/>
      <c r="AE4" s="121"/>
      <c r="AF4" s="121"/>
      <c r="AG4" s="83">
        <f>+K4+Y4</f>
        <v>786.61912499999994</v>
      </c>
      <c r="AH4" s="138" t="s">
        <v>658</v>
      </c>
      <c r="AI4" s="136">
        <f>+Dados!B32</f>
        <v>10</v>
      </c>
      <c r="AJ4" s="136">
        <f>+Dados!C32</f>
        <v>2.5</v>
      </c>
      <c r="AK4" s="136">
        <f>+Dados!D32</f>
        <v>3</v>
      </c>
      <c r="AL4" s="153">
        <f>+Dados!F32</f>
        <v>675</v>
      </c>
      <c r="AM4" s="138" t="s">
        <v>797</v>
      </c>
      <c r="AN4" s="136">
        <f>+Dados!C10</f>
        <v>3</v>
      </c>
      <c r="AO4" s="136">
        <f>+Dados!B10</f>
        <v>650</v>
      </c>
      <c r="AP4" s="136">
        <f>+Dados!E10</f>
        <v>35490</v>
      </c>
    </row>
    <row r="5" spans="1:44" ht="20.100000000000001" customHeight="1" x14ac:dyDescent="0.25">
      <c r="A5" s="134" t="s">
        <v>1055</v>
      </c>
      <c r="E5" s="83">
        <f>+LocAdubo!B32</f>
        <v>32.142857142857139</v>
      </c>
      <c r="F5" s="121">
        <f>+LocAdubo!C32</f>
        <v>8.283333333333335</v>
      </c>
      <c r="G5" s="121">
        <f>+LocAdubo!D32</f>
        <v>1</v>
      </c>
      <c r="H5" s="121">
        <f t="shared" si="0"/>
        <v>9.283333333333335</v>
      </c>
      <c r="I5" s="121">
        <f t="shared" si="1"/>
        <v>266.25</v>
      </c>
      <c r="J5" s="121">
        <f t="shared" si="2"/>
        <v>32.142857142857139</v>
      </c>
      <c r="K5" s="121">
        <f t="shared" si="3"/>
        <v>298.39285714285711</v>
      </c>
      <c r="L5" s="83"/>
      <c r="M5" s="121"/>
      <c r="N5" s="121"/>
      <c r="O5" s="121"/>
      <c r="P5" s="121"/>
      <c r="Q5" s="121"/>
      <c r="R5" s="121"/>
      <c r="S5" s="83"/>
      <c r="T5" s="121"/>
      <c r="U5" s="121"/>
      <c r="V5" s="121"/>
      <c r="W5" s="121"/>
      <c r="X5" s="121"/>
      <c r="Y5" s="121"/>
      <c r="Z5" s="83">
        <f>+LocAdubo!B32</f>
        <v>32.142857142857139</v>
      </c>
      <c r="AA5" s="121">
        <f>+Trator60!B28</f>
        <v>24.838716666666667</v>
      </c>
      <c r="AB5" s="121">
        <f>+Trator60!C28</f>
        <v>16.310123333333333</v>
      </c>
      <c r="AC5" s="121">
        <f>+AA5+AB5</f>
        <v>41.14884</v>
      </c>
      <c r="AD5" s="121">
        <f>+Z5*AA5</f>
        <v>798.38732142857134</v>
      </c>
      <c r="AE5" s="121">
        <f>+Z5*AB5</f>
        <v>524.25396428571423</v>
      </c>
      <c r="AF5" s="121">
        <f>+AD5+AE5</f>
        <v>1322.6412857142855</v>
      </c>
      <c r="AG5" s="83">
        <f>+K5+AF5</f>
        <v>1621.0341428571426</v>
      </c>
      <c r="AH5" s="138" t="s">
        <v>657</v>
      </c>
      <c r="AI5" s="136">
        <f>+Dados!B33</f>
        <v>10</v>
      </c>
      <c r="AJ5" s="136">
        <f>+Dados!C33</f>
        <v>2.5</v>
      </c>
      <c r="AK5" s="136">
        <f>+Dados!D33</f>
        <v>5</v>
      </c>
      <c r="AL5" s="153">
        <f>+Dados!F33</f>
        <v>1125</v>
      </c>
      <c r="AM5" s="138" t="s">
        <v>481</v>
      </c>
      <c r="AN5" s="136">
        <v>1</v>
      </c>
      <c r="AO5" s="136"/>
      <c r="AP5" s="136">
        <f>+Dados!E43</f>
        <v>25</v>
      </c>
    </row>
    <row r="6" spans="1:44" ht="20.100000000000001" customHeight="1" x14ac:dyDescent="0.25">
      <c r="A6" s="134" t="s">
        <v>1056</v>
      </c>
      <c r="E6" s="83">
        <f>+Escar!$B$32</f>
        <v>48</v>
      </c>
      <c r="F6" s="121">
        <f>+Escar!$C$32</f>
        <v>1.109375</v>
      </c>
      <c r="G6" s="121">
        <f>+Escar!$D$32</f>
        <v>0.2</v>
      </c>
      <c r="H6" s="121">
        <f t="shared" si="0"/>
        <v>1.309375</v>
      </c>
      <c r="I6" s="121">
        <f t="shared" si="1"/>
        <v>53.25</v>
      </c>
      <c r="J6" s="121">
        <f t="shared" si="2"/>
        <v>9.6000000000000014</v>
      </c>
      <c r="K6" s="121">
        <f t="shared" si="3"/>
        <v>62.85</v>
      </c>
      <c r="S6" s="83">
        <f>+Escar!B32</f>
        <v>48</v>
      </c>
      <c r="T6" s="121">
        <f>+Trator53!B28</f>
        <v>11.102966666666667</v>
      </c>
      <c r="U6" s="121">
        <f>+Trator53!C28</f>
        <v>15.650053333333332</v>
      </c>
      <c r="V6" s="121">
        <f>+T6+U6</f>
        <v>26.753019999999999</v>
      </c>
      <c r="W6" s="121">
        <f>+S6*T6</f>
        <v>532.94240000000002</v>
      </c>
      <c r="X6" s="121">
        <f>+S6*U6</f>
        <v>751.20255999999995</v>
      </c>
      <c r="Y6" s="121">
        <f>+W6+X6</f>
        <v>1284.1449600000001</v>
      </c>
      <c r="Z6" s="83"/>
      <c r="AA6" s="121"/>
      <c r="AB6" s="121"/>
      <c r="AC6" s="121"/>
      <c r="AD6" s="121"/>
      <c r="AE6" s="121"/>
      <c r="AF6" s="121"/>
      <c r="AG6" s="83">
        <f>+K6+Y6</f>
        <v>1346.99496</v>
      </c>
      <c r="AH6" s="138" t="s">
        <v>659</v>
      </c>
      <c r="AI6" s="135">
        <f>+Dados!B35</f>
        <v>0.5</v>
      </c>
      <c r="AJ6" s="135">
        <f>+Dados!C35</f>
        <v>300</v>
      </c>
      <c r="AK6" s="135">
        <f>+Dados!D35</f>
        <v>2</v>
      </c>
      <c r="AL6" s="135">
        <f>+Dados!F35</f>
        <v>2700</v>
      </c>
      <c r="AM6" s="138" t="s">
        <v>665</v>
      </c>
      <c r="AN6" s="136">
        <v>1</v>
      </c>
      <c r="AO6" s="135"/>
      <c r="AP6" s="136">
        <f>+Dados!E44</f>
        <v>20</v>
      </c>
    </row>
    <row r="7" spans="1:44" ht="20.100000000000001" customHeight="1" x14ac:dyDescent="0.25">
      <c r="A7" s="134" t="s">
        <v>1057</v>
      </c>
      <c r="E7" s="83">
        <f>+Pulv!B32</f>
        <v>112.5</v>
      </c>
      <c r="F7" s="121">
        <f>+Pulv!C32</f>
        <v>7.1</v>
      </c>
      <c r="G7" s="121">
        <f>+Pulv!D32</f>
        <v>3</v>
      </c>
      <c r="H7" s="121">
        <f t="shared" si="0"/>
        <v>10.1</v>
      </c>
      <c r="I7" s="121">
        <f t="shared" si="1"/>
        <v>798.75</v>
      </c>
      <c r="J7" s="121">
        <f t="shared" si="2"/>
        <v>337.5</v>
      </c>
      <c r="K7" s="121">
        <f t="shared" si="3"/>
        <v>1136.25</v>
      </c>
      <c r="L7" s="83">
        <f>+Pulv!B32</f>
        <v>112.5</v>
      </c>
      <c r="M7" s="121">
        <f>+Trator35!B28</f>
        <v>9.2543000000000006</v>
      </c>
      <c r="N7" s="121">
        <f>+Trator35!C28</f>
        <v>13.951033333333333</v>
      </c>
      <c r="O7" s="121">
        <f>+M7+N7</f>
        <v>23.205333333333336</v>
      </c>
      <c r="P7" s="121">
        <f>+L7*M7</f>
        <v>1041.1087500000001</v>
      </c>
      <c r="Q7" s="121">
        <f>+L7*N7</f>
        <v>1569.49125</v>
      </c>
      <c r="R7" s="121">
        <f>+P7+Q7</f>
        <v>2610.6000000000004</v>
      </c>
      <c r="Z7" s="83"/>
      <c r="AA7" s="121"/>
      <c r="AB7" s="121"/>
      <c r="AC7" s="121"/>
      <c r="AD7" s="121"/>
      <c r="AE7" s="121"/>
      <c r="AF7" s="121"/>
      <c r="AG7" s="83">
        <f>+K7+R7</f>
        <v>3746.8500000000004</v>
      </c>
      <c r="AH7" s="138" t="s">
        <v>660</v>
      </c>
      <c r="AI7" s="135">
        <f>+Dados!B36</f>
        <v>0.5</v>
      </c>
      <c r="AJ7" s="135">
        <f>+Dados!C36</f>
        <v>300</v>
      </c>
      <c r="AK7" s="135">
        <f>+Dados!D36</f>
        <v>2</v>
      </c>
      <c r="AL7" s="135">
        <f>+Dados!F36</f>
        <v>2700</v>
      </c>
      <c r="AM7" s="138" t="s">
        <v>4</v>
      </c>
      <c r="AO7" s="135"/>
      <c r="AP7" s="135"/>
    </row>
    <row r="8" spans="1:44" ht="20.100000000000001" customHeight="1" x14ac:dyDescent="0.25">
      <c r="A8" s="134" t="s">
        <v>1058</v>
      </c>
      <c r="E8" s="83">
        <f>+Despont!B32</f>
        <v>37.5</v>
      </c>
      <c r="F8" s="121">
        <f>+Despont!C32</f>
        <v>8.52</v>
      </c>
      <c r="G8" s="121">
        <f>+Despont!D32</f>
        <v>1.2</v>
      </c>
      <c r="H8" s="121">
        <f t="shared" si="0"/>
        <v>9.7199999999999989</v>
      </c>
      <c r="I8" s="121">
        <f t="shared" si="1"/>
        <v>319.5</v>
      </c>
      <c r="J8" s="121">
        <f t="shared" si="2"/>
        <v>45</v>
      </c>
      <c r="K8" s="121">
        <f t="shared" si="3"/>
        <v>364.5</v>
      </c>
      <c r="S8" s="83">
        <f>+Despont!B32</f>
        <v>37.5</v>
      </c>
      <c r="T8" s="121">
        <f>+Trator53!B28</f>
        <v>11.102966666666667</v>
      </c>
      <c r="U8" s="121">
        <f>+Trator53!C28</f>
        <v>15.650053333333332</v>
      </c>
      <c r="V8" s="121">
        <f>+T8+U8</f>
        <v>26.753019999999999</v>
      </c>
      <c r="W8" s="121">
        <f>+S8*T8</f>
        <v>416.36125000000004</v>
      </c>
      <c r="X8" s="121">
        <f>+S8*U8</f>
        <v>586.87699999999995</v>
      </c>
      <c r="Y8" s="121">
        <f>+W8+X8</f>
        <v>1003.23825</v>
      </c>
      <c r="Z8" s="83"/>
      <c r="AA8" s="121"/>
      <c r="AB8" s="121"/>
      <c r="AC8" s="121"/>
      <c r="AD8" s="121"/>
      <c r="AE8" s="121"/>
      <c r="AF8" s="121"/>
      <c r="AG8" s="83">
        <f>+K8+Y8</f>
        <v>1367.7382499999999</v>
      </c>
      <c r="AH8" s="138" t="s">
        <v>661</v>
      </c>
      <c r="AI8" s="135">
        <f>+Dados!B37</f>
        <v>0.5</v>
      </c>
      <c r="AJ8" s="135">
        <f>+Dados!C37</f>
        <v>50</v>
      </c>
      <c r="AK8" s="135">
        <f>+Dados!D37</f>
        <v>1</v>
      </c>
      <c r="AL8" s="135">
        <f>+Dados!F37</f>
        <v>225</v>
      </c>
      <c r="AM8" s="138"/>
      <c r="AO8" s="135"/>
      <c r="AP8" s="135"/>
    </row>
    <row r="9" spans="1:44" ht="20.100000000000001" customHeight="1" x14ac:dyDescent="0.25">
      <c r="A9" s="134" t="s">
        <v>1059</v>
      </c>
      <c r="E9" s="83">
        <f>+Reboq3.5!B32</f>
        <v>45</v>
      </c>
      <c r="F9" s="121">
        <f>+Reboq3.5!C32</f>
        <v>8.2123333333333335</v>
      </c>
      <c r="G9" s="121">
        <f>+Reboq3.5!D32</f>
        <v>1.6380000000000001</v>
      </c>
      <c r="H9" s="121">
        <f t="shared" si="0"/>
        <v>9.8503333333333334</v>
      </c>
      <c r="I9" s="121">
        <f t="shared" si="1"/>
        <v>369.55500000000001</v>
      </c>
      <c r="J9" s="121">
        <f t="shared" si="2"/>
        <v>73.710000000000008</v>
      </c>
      <c r="K9" s="121">
        <f t="shared" si="3"/>
        <v>443.26499999999999</v>
      </c>
      <c r="L9" s="83"/>
      <c r="M9" s="121"/>
      <c r="N9" s="121"/>
      <c r="O9" s="121"/>
      <c r="P9" s="121"/>
      <c r="Q9" s="121"/>
      <c r="R9" s="121"/>
      <c r="S9" s="83">
        <f>+Reboq3.5!B32</f>
        <v>45</v>
      </c>
      <c r="T9" s="121">
        <f>+Trator53!B28</f>
        <v>11.102966666666667</v>
      </c>
      <c r="U9" s="121">
        <f>+Trator53!C28</f>
        <v>15.650053333333332</v>
      </c>
      <c r="V9" s="121">
        <f>+T9+U9</f>
        <v>26.753019999999999</v>
      </c>
      <c r="W9" s="121">
        <f>+S9*T9</f>
        <v>499.63350000000003</v>
      </c>
      <c r="X9" s="121">
        <f>+S9*U9</f>
        <v>704.25239999999997</v>
      </c>
      <c r="Y9" s="121">
        <f>+W9+X9</f>
        <v>1203.8859</v>
      </c>
      <c r="Z9" s="83"/>
      <c r="AA9" s="121"/>
      <c r="AB9" s="121"/>
      <c r="AC9" s="121"/>
      <c r="AD9" s="121"/>
      <c r="AE9" s="121"/>
      <c r="AF9" s="121"/>
      <c r="AG9" s="83">
        <f>+K9+Y9</f>
        <v>1647.1509000000001</v>
      </c>
      <c r="AH9" s="138" t="s">
        <v>662</v>
      </c>
      <c r="AI9" s="135">
        <f>+Dados!B39</f>
        <v>7.4999999999999997E-2</v>
      </c>
      <c r="AJ9" s="135">
        <f>+Dados!C39</f>
        <v>1000</v>
      </c>
      <c r="AK9" s="135">
        <f>+Dados!D39</f>
        <v>1</v>
      </c>
      <c r="AL9" s="135">
        <f>+Dados!F39</f>
        <v>675</v>
      </c>
      <c r="AM9" s="138"/>
      <c r="AO9" s="135"/>
      <c r="AP9" s="135"/>
    </row>
    <row r="10" spans="1:44" ht="20.100000000000001" customHeight="1" x14ac:dyDescent="0.25">
      <c r="A10" s="134" t="s">
        <v>1060</v>
      </c>
      <c r="E10" s="83">
        <f>+Reboq4.5!B32</f>
        <v>45</v>
      </c>
      <c r="F10" s="121">
        <f>+Reboq4.5!C32</f>
        <v>10.455933333333334</v>
      </c>
      <c r="G10" s="121">
        <f>+Reboq4.5!D32</f>
        <v>2.0171999999999999</v>
      </c>
      <c r="H10" s="121">
        <f t="shared" si="0"/>
        <v>12.473133333333333</v>
      </c>
      <c r="I10" s="121">
        <f t="shared" si="1"/>
        <v>470.51700000000005</v>
      </c>
      <c r="J10" s="121">
        <f t="shared" si="2"/>
        <v>90.774000000000001</v>
      </c>
      <c r="K10" s="121">
        <f t="shared" si="3"/>
        <v>561.29100000000005</v>
      </c>
      <c r="L10" s="83"/>
      <c r="M10" s="121"/>
      <c r="N10" s="121"/>
      <c r="O10" s="121"/>
      <c r="P10" s="121"/>
      <c r="Q10" s="121"/>
      <c r="R10" s="121"/>
      <c r="S10" s="83"/>
      <c r="T10" s="121"/>
      <c r="U10" s="121"/>
      <c r="V10" s="121"/>
      <c r="W10" s="121"/>
      <c r="X10" s="121"/>
      <c r="Y10" s="121"/>
      <c r="Z10" s="83">
        <f>+Reboq4.5!B32</f>
        <v>45</v>
      </c>
      <c r="AA10" s="121">
        <f>+Trator60!B28</f>
        <v>24.838716666666667</v>
      </c>
      <c r="AB10" s="121">
        <f>+Trator60!C28</f>
        <v>16.310123333333333</v>
      </c>
      <c r="AC10" s="121">
        <f>+AA10+AB10</f>
        <v>41.14884</v>
      </c>
      <c r="AD10" s="121">
        <f>+Z10*AA10</f>
        <v>1117.74225</v>
      </c>
      <c r="AE10" s="121">
        <f>+Z10*AB10</f>
        <v>733.95555000000002</v>
      </c>
      <c r="AF10" s="121">
        <f>+AD10+AE10</f>
        <v>1851.6977999999999</v>
      </c>
      <c r="AG10" s="83">
        <f>+K10+Y10</f>
        <v>561.29100000000005</v>
      </c>
      <c r="AI10" s="135"/>
      <c r="AJ10" s="135"/>
      <c r="AK10" s="135"/>
      <c r="AL10" s="135"/>
      <c r="AM10" s="138"/>
      <c r="AO10" s="135"/>
      <c r="AP10" s="135"/>
    </row>
    <row r="11" spans="1:44" ht="20.100000000000001" customHeight="1" x14ac:dyDescent="0.25">
      <c r="A11" s="151" t="s">
        <v>4</v>
      </c>
      <c r="S11" s="83"/>
      <c r="AH11" s="138"/>
      <c r="AI11" s="135"/>
      <c r="AJ11" s="135"/>
      <c r="AK11" s="135"/>
      <c r="AL11" s="135"/>
      <c r="AM11" s="138"/>
      <c r="AO11" s="135"/>
      <c r="AP11" s="135"/>
    </row>
    <row r="12" spans="1:44" ht="20.100000000000001" customHeight="1" x14ac:dyDescent="0.25">
      <c r="A12" s="132" t="s">
        <v>467</v>
      </c>
      <c r="E12" s="83">
        <f t="shared" ref="E12:AG12" si="4">SUM(E3:E10)</f>
        <v>357.64285714285711</v>
      </c>
      <c r="F12" s="121">
        <f t="shared" si="4"/>
        <v>86.280974999999998</v>
      </c>
      <c r="G12" s="121">
        <f t="shared" si="4"/>
        <v>12.055199999999999</v>
      </c>
      <c r="H12" s="121">
        <f t="shared" si="4"/>
        <v>98.336174999999997</v>
      </c>
      <c r="I12" s="121">
        <f t="shared" si="4"/>
        <v>3076.5720000000001</v>
      </c>
      <c r="J12" s="121">
        <f t="shared" si="4"/>
        <v>644.97685714285717</v>
      </c>
      <c r="K12" s="121">
        <f t="shared" si="4"/>
        <v>3721.5488571428573</v>
      </c>
      <c r="L12" s="83">
        <f t="shared" si="4"/>
        <v>112.5</v>
      </c>
      <c r="M12" s="121">
        <f t="shared" si="4"/>
        <v>9.2543000000000006</v>
      </c>
      <c r="N12" s="121">
        <f t="shared" si="4"/>
        <v>13.951033333333333</v>
      </c>
      <c r="O12" s="121">
        <f t="shared" si="4"/>
        <v>23.205333333333336</v>
      </c>
      <c r="P12" s="121">
        <f t="shared" si="4"/>
        <v>1041.1087500000001</v>
      </c>
      <c r="Q12" s="121">
        <f t="shared" si="4"/>
        <v>1569.49125</v>
      </c>
      <c r="R12" s="121">
        <f t="shared" si="4"/>
        <v>2610.6000000000004</v>
      </c>
      <c r="S12" s="83">
        <f t="shared" si="4"/>
        <v>149.25</v>
      </c>
      <c r="T12" s="121">
        <f t="shared" si="4"/>
        <v>44.411866666666668</v>
      </c>
      <c r="U12" s="121">
        <f t="shared" si="4"/>
        <v>62.600213333333329</v>
      </c>
      <c r="V12" s="121">
        <f t="shared" si="4"/>
        <v>107.01208</v>
      </c>
      <c r="W12" s="121">
        <f t="shared" si="4"/>
        <v>1657.1177750000002</v>
      </c>
      <c r="X12" s="121">
        <f t="shared" si="4"/>
        <v>2335.7704599999997</v>
      </c>
      <c r="Y12" s="121">
        <f t="shared" si="4"/>
        <v>3992.8882350000003</v>
      </c>
      <c r="Z12" s="83">
        <f t="shared" si="4"/>
        <v>95.892857142857139</v>
      </c>
      <c r="AA12" s="121">
        <f t="shared" si="4"/>
        <v>74.516149999999996</v>
      </c>
      <c r="AB12" s="121">
        <f t="shared" si="4"/>
        <v>48.930369999999996</v>
      </c>
      <c r="AC12" s="121">
        <f t="shared" si="4"/>
        <v>123.44651999999999</v>
      </c>
      <c r="AD12" s="121">
        <f t="shared" si="4"/>
        <v>2381.855508928571</v>
      </c>
      <c r="AE12" s="121">
        <f t="shared" si="4"/>
        <v>1564.0243267857143</v>
      </c>
      <c r="AF12" s="121">
        <f t="shared" si="4"/>
        <v>3945.8798357142855</v>
      </c>
      <c r="AG12" s="121">
        <f t="shared" si="4"/>
        <v>12419.219127857144</v>
      </c>
      <c r="AH12" s="138"/>
      <c r="AI12" s="135"/>
      <c r="AJ12" s="135"/>
      <c r="AK12" s="135"/>
      <c r="AL12" s="135"/>
      <c r="AM12" s="138"/>
      <c r="AO12" s="135"/>
      <c r="AP12" s="135"/>
      <c r="AQ12" s="126"/>
      <c r="AR12" s="114"/>
    </row>
    <row r="13" spans="1:44" ht="20.100000000000001" customHeight="1" x14ac:dyDescent="0.25">
      <c r="A13" s="132"/>
      <c r="AH13" s="135"/>
      <c r="AI13" s="135"/>
      <c r="AJ13" s="135"/>
      <c r="AK13" s="135"/>
      <c r="AL13" s="135"/>
      <c r="AM13" s="135"/>
      <c r="AN13" s="135"/>
      <c r="AO13" s="135"/>
      <c r="AP13" s="135"/>
    </row>
    <row r="14" spans="1:44" ht="20.100000000000001" customHeight="1" x14ac:dyDescent="0.25">
      <c r="A14" s="134" t="s">
        <v>468</v>
      </c>
      <c r="B14" s="83">
        <f>+Dados!B18*A2</f>
        <v>1125</v>
      </c>
      <c r="C14" s="83">
        <f>+Dados!C18</f>
        <v>10</v>
      </c>
      <c r="D14" s="83">
        <f>+B14*C14</f>
        <v>11250</v>
      </c>
      <c r="AH14" s="135"/>
      <c r="AI14" s="135"/>
      <c r="AJ14" s="135"/>
      <c r="AK14" s="136"/>
      <c r="AL14" s="117" t="s">
        <v>1064</v>
      </c>
      <c r="AM14" s="135"/>
      <c r="AN14" s="135"/>
      <c r="AO14" s="135"/>
      <c r="AP14" s="117" t="s">
        <v>1065</v>
      </c>
    </row>
    <row r="15" spans="1:44" ht="20.100000000000001" customHeight="1" x14ac:dyDescent="0.25">
      <c r="A15" s="134" t="s">
        <v>435</v>
      </c>
      <c r="B15" s="83">
        <f>+Dados!B21*A2</f>
        <v>900</v>
      </c>
      <c r="C15" s="83">
        <f>+Dados!C21</f>
        <v>5</v>
      </c>
      <c r="D15" s="83">
        <f>+B15*C15</f>
        <v>4500</v>
      </c>
      <c r="AH15" s="135"/>
      <c r="AI15" s="135"/>
      <c r="AJ15" s="135"/>
      <c r="AK15" s="135"/>
      <c r="AL15" s="142">
        <f>SUM(AL3:AL13)</f>
        <v>8370</v>
      </c>
      <c r="AM15" s="135"/>
      <c r="AN15" s="135"/>
      <c r="AO15" s="135"/>
      <c r="AP15" s="145">
        <f>SUM(AP3:AP13)</f>
        <v>62835</v>
      </c>
    </row>
    <row r="16" spans="1:44" ht="20.100000000000001" customHeight="1" x14ac:dyDescent="0.25">
      <c r="A16" s="134" t="s">
        <v>176</v>
      </c>
      <c r="B16" s="83">
        <f>+Dados!B24*A2</f>
        <v>675</v>
      </c>
      <c r="C16" s="83">
        <f>+Dados!C24</f>
        <v>5</v>
      </c>
      <c r="D16" s="83">
        <f>+B16*C16</f>
        <v>3375</v>
      </c>
      <c r="AH16" s="135"/>
      <c r="AI16" s="216"/>
      <c r="AJ16" s="216"/>
      <c r="AK16" s="216"/>
      <c r="AL16" s="217"/>
      <c r="AM16" s="216"/>
      <c r="AN16" s="216"/>
      <c r="AO16" s="216"/>
      <c r="AP16" s="218"/>
    </row>
    <row r="17" spans="1:43" ht="20.100000000000001" customHeight="1" x14ac:dyDescent="0.25">
      <c r="A17" s="133" t="s">
        <v>631</v>
      </c>
      <c r="B17" s="83"/>
      <c r="C17" s="83"/>
      <c r="D17" s="83"/>
      <c r="AH17" s="135"/>
      <c r="AI17" s="216"/>
      <c r="AJ17" s="216"/>
      <c r="AK17" s="216"/>
      <c r="AL17" s="217"/>
      <c r="AM17" s="216"/>
      <c r="AN17" s="216"/>
      <c r="AO17" s="216"/>
      <c r="AP17" s="218"/>
    </row>
    <row r="18" spans="1:43" ht="20.100000000000001" customHeight="1" x14ac:dyDescent="0.25">
      <c r="A18" s="132" t="s">
        <v>663</v>
      </c>
      <c r="B18" s="83">
        <f>SUM(B14:B17)</f>
        <v>2700</v>
      </c>
      <c r="D18" s="83">
        <f>SUM(D14:D17)</f>
        <v>19125</v>
      </c>
      <c r="AI18" s="216"/>
      <c r="AJ18" s="216"/>
      <c r="AK18" s="216"/>
      <c r="AL18" s="216"/>
      <c r="AM18" s="216"/>
      <c r="AN18" s="216"/>
      <c r="AO18" s="216"/>
      <c r="AP18" s="216"/>
      <c r="AQ18" s="216"/>
    </row>
    <row r="19" spans="1:43" ht="20.100000000000001" customHeight="1" x14ac:dyDescent="0.25">
      <c r="A19" s="146" t="s">
        <v>675</v>
      </c>
      <c r="B19" s="83"/>
      <c r="D19" s="83"/>
      <c r="AI19" s="216"/>
      <c r="AJ19" s="216"/>
      <c r="AK19" s="216"/>
      <c r="AL19" s="216"/>
      <c r="AM19" s="216"/>
      <c r="AN19" s="216"/>
      <c r="AO19" s="216"/>
      <c r="AP19" s="216"/>
      <c r="AQ19" s="216"/>
    </row>
    <row r="20" spans="1:43" ht="20.100000000000001" customHeight="1" x14ac:dyDescent="0.25">
      <c r="A20" s="146" t="s">
        <v>676</v>
      </c>
      <c r="B20" s="83">
        <f>+B12+B18</f>
        <v>2700</v>
      </c>
      <c r="D20" s="150">
        <f>+D12+D18</f>
        <v>19125</v>
      </c>
      <c r="E20" s="121">
        <f>+E12+E18</f>
        <v>357.64285714285711</v>
      </c>
      <c r="G20" s="121">
        <v>7</v>
      </c>
      <c r="H20" s="121"/>
      <c r="I20" s="143">
        <f>+I12+I18</f>
        <v>3076.5720000000001</v>
      </c>
      <c r="J20" s="141">
        <f>+J12+J18</f>
        <v>644.97685714285717</v>
      </c>
      <c r="K20" s="123">
        <f>+K12+K18</f>
        <v>3721.5488571428573</v>
      </c>
      <c r="L20" s="83"/>
      <c r="M20" s="121"/>
      <c r="N20" s="121"/>
      <c r="O20" s="121"/>
      <c r="P20" s="144">
        <f>+P12</f>
        <v>1041.1087500000001</v>
      </c>
      <c r="Q20" s="140">
        <f>+Q12</f>
        <v>1569.49125</v>
      </c>
      <c r="R20" s="123">
        <f>+R12</f>
        <v>2610.6000000000004</v>
      </c>
      <c r="S20" s="121"/>
      <c r="T20" s="121"/>
      <c r="W20" s="144">
        <f>+W12</f>
        <v>1657.1177750000002</v>
      </c>
      <c r="X20" s="140">
        <f>+X12</f>
        <v>2335.7704599999997</v>
      </c>
      <c r="Y20" s="123">
        <f>+Y12</f>
        <v>3992.8882350000003</v>
      </c>
      <c r="AD20" s="144">
        <f>+AD12</f>
        <v>2381.855508928571</v>
      </c>
      <c r="AE20" s="140">
        <f>+AE12</f>
        <v>1564.0243267857143</v>
      </c>
      <c r="AF20" s="123">
        <f>+AF12</f>
        <v>3945.8798357142855</v>
      </c>
      <c r="AG20" s="123">
        <f>+K20+R20+Y20+AF20</f>
        <v>14270.916927857144</v>
      </c>
      <c r="AH20" s="114"/>
      <c r="AI20" s="216"/>
      <c r="AJ20" s="216"/>
      <c r="AK20" s="216"/>
      <c r="AL20" s="216"/>
      <c r="AM20" s="216"/>
      <c r="AN20" s="216"/>
      <c r="AO20" s="216"/>
      <c r="AP20" s="216"/>
      <c r="AQ20" s="216"/>
    </row>
    <row r="21" spans="1:43" ht="20.100000000000001" customHeight="1" x14ac:dyDescent="0.25">
      <c r="A21" s="146" t="s">
        <v>674</v>
      </c>
      <c r="B21" s="83">
        <f>+B20/A2</f>
        <v>300</v>
      </c>
      <c r="D21" s="150">
        <f>+A2*D20</f>
        <v>172125</v>
      </c>
      <c r="I21" s="143">
        <f>+I20/A2</f>
        <v>341.84133333333335</v>
      </c>
      <c r="J21" s="141">
        <f>+J20/A2</f>
        <v>71.664095238095243</v>
      </c>
      <c r="K21" s="123">
        <f>+K20/9</f>
        <v>413.50542857142858</v>
      </c>
      <c r="P21" s="144">
        <f>+P20/A2</f>
        <v>115.67875000000001</v>
      </c>
      <c r="Q21" s="140">
        <f>+Q20/A2</f>
        <v>174.38791666666668</v>
      </c>
      <c r="R21" s="123">
        <f>+R20/A2</f>
        <v>290.06666666666672</v>
      </c>
      <c r="W21" s="144">
        <f>+W20/A2</f>
        <v>184.12419722222225</v>
      </c>
      <c r="X21" s="140">
        <f>+X20/A2</f>
        <v>259.53005111111111</v>
      </c>
      <c r="Y21" s="123">
        <f>+Y20/A2</f>
        <v>443.65424833333338</v>
      </c>
      <c r="AD21" s="144">
        <f>+AD20/A2</f>
        <v>264.65061210317458</v>
      </c>
      <c r="AE21" s="140">
        <f>+AE20/A2</f>
        <v>173.78048075396825</v>
      </c>
      <c r="AF21" s="123">
        <f>+AF20/A2</f>
        <v>438.43109285714286</v>
      </c>
      <c r="AG21" s="123">
        <f>+AG20/A2</f>
        <v>1585.6574364285716</v>
      </c>
      <c r="AH21" s="136"/>
      <c r="AI21" s="216"/>
      <c r="AJ21" s="216"/>
      <c r="AK21" s="216"/>
      <c r="AL21" s="216"/>
      <c r="AM21" s="216"/>
      <c r="AN21" s="216"/>
      <c r="AO21" s="216"/>
      <c r="AP21" s="216"/>
      <c r="AQ21" s="216"/>
    </row>
    <row r="22" spans="1:43" ht="20.100000000000001" customHeight="1" x14ac:dyDescent="0.25">
      <c r="AH22" s="136"/>
      <c r="AI22" s="216"/>
      <c r="AJ22" s="216"/>
      <c r="AK22" s="216"/>
      <c r="AL22" s="216"/>
      <c r="AM22" s="216"/>
      <c r="AN22" s="216"/>
      <c r="AO22" s="216"/>
      <c r="AP22" s="216"/>
      <c r="AQ22" s="216"/>
    </row>
    <row r="23" spans="1:43" ht="20.100000000000001" customHeight="1" x14ac:dyDescent="0.25">
      <c r="AH23" s="136"/>
      <c r="AI23" s="136"/>
      <c r="AJ23" s="137"/>
      <c r="AM23" s="135"/>
      <c r="AN23" s="135"/>
      <c r="AO23" s="135"/>
      <c r="AP23" s="135"/>
    </row>
    <row r="24" spans="1:43" ht="20.100000000000001" customHeight="1" x14ac:dyDescent="0.25">
      <c r="AH24" s="136"/>
      <c r="AI24" s="136"/>
      <c r="AJ24" s="135"/>
      <c r="AN24" s="135"/>
    </row>
    <row r="25" spans="1:43" ht="20.100000000000001" customHeight="1" x14ac:dyDescent="0.25">
      <c r="AH25" s="136"/>
      <c r="AI25" s="136"/>
      <c r="AJ25" s="137"/>
      <c r="AN25" s="135"/>
      <c r="AO25" s="135"/>
      <c r="AP25" s="135"/>
    </row>
    <row r="26" spans="1:43" ht="20.100000000000001" customHeight="1" x14ac:dyDescent="0.25">
      <c r="AH26" s="136"/>
      <c r="AI26" s="136"/>
      <c r="AJ26" s="135"/>
      <c r="AK26" s="135"/>
      <c r="AL26" s="135"/>
      <c r="AM26" s="135"/>
      <c r="AN26" s="135"/>
      <c r="AO26" s="135"/>
      <c r="AP26" s="135"/>
    </row>
    <row r="27" spans="1:43" ht="20.100000000000001" customHeight="1" x14ac:dyDescent="0.25">
      <c r="AH27" s="136"/>
      <c r="AI27" s="136"/>
      <c r="AJ27" s="137"/>
      <c r="AK27" s="135"/>
      <c r="AL27" s="135"/>
      <c r="AM27" s="135"/>
      <c r="AN27" s="135"/>
      <c r="AO27" s="135"/>
      <c r="AP27" s="135"/>
    </row>
    <row r="28" spans="1:43" x14ac:dyDescent="0.25">
      <c r="AH28" s="136"/>
      <c r="AI28" s="136"/>
      <c r="AJ28" s="135"/>
      <c r="AK28" s="135"/>
      <c r="AL28" s="135"/>
      <c r="AM28" s="135"/>
      <c r="AN28" s="135"/>
      <c r="AO28" s="135"/>
      <c r="AP28" s="135"/>
    </row>
    <row r="29" spans="1:43" x14ac:dyDescent="0.25">
      <c r="AH29" s="136"/>
      <c r="AI29" s="136"/>
      <c r="AJ29" s="135"/>
      <c r="AK29" s="135"/>
      <c r="AL29" s="135"/>
      <c r="AM29" s="135"/>
      <c r="AN29" s="135"/>
      <c r="AO29" s="135"/>
      <c r="AP29" s="135"/>
    </row>
    <row r="30" spans="1:43" x14ac:dyDescent="0.25">
      <c r="AH30" s="136"/>
      <c r="AI30" s="136"/>
      <c r="AJ30" s="135"/>
      <c r="AK30" s="135"/>
      <c r="AL30" s="135"/>
      <c r="AM30" s="135"/>
      <c r="AN30" s="135"/>
      <c r="AO30" s="135"/>
      <c r="AP30" s="135"/>
    </row>
    <row r="31" spans="1:43" x14ac:dyDescent="0.25">
      <c r="AH31" s="136"/>
      <c r="AI31" s="136"/>
      <c r="AJ31" s="135"/>
      <c r="AK31" s="135"/>
      <c r="AL31" s="135"/>
      <c r="AM31" s="135"/>
      <c r="AN31" s="135"/>
      <c r="AO31" s="135"/>
      <c r="AP31" s="135"/>
    </row>
    <row r="32" spans="1:43" x14ac:dyDescent="0.25">
      <c r="AH32" s="136"/>
      <c r="AI32" s="136"/>
      <c r="AJ32" s="137"/>
      <c r="AK32" s="135"/>
      <c r="AL32" s="135"/>
      <c r="AM32" s="135"/>
      <c r="AN32" s="135"/>
      <c r="AO32" s="135"/>
      <c r="AP32" s="135"/>
    </row>
    <row r="33" spans="34:42" x14ac:dyDescent="0.25">
      <c r="AH33" s="136"/>
      <c r="AI33" s="136"/>
      <c r="AJ33" s="135"/>
      <c r="AK33" s="135"/>
      <c r="AL33" s="135"/>
      <c r="AM33" s="135"/>
      <c r="AN33" s="135"/>
      <c r="AO33" s="135"/>
      <c r="AP33" s="135"/>
    </row>
    <row r="34" spans="34:42" x14ac:dyDescent="0.25">
      <c r="AH34" s="136"/>
      <c r="AI34" s="136"/>
      <c r="AJ34" s="137"/>
      <c r="AK34" s="135"/>
      <c r="AL34" s="135"/>
      <c r="AM34" s="135"/>
      <c r="AN34" s="135"/>
      <c r="AO34" s="135"/>
      <c r="AP34" s="135"/>
    </row>
    <row r="35" spans="34:42" x14ac:dyDescent="0.25">
      <c r="AH35" s="136"/>
      <c r="AI35" s="136"/>
      <c r="AJ35" s="135"/>
      <c r="AK35" s="135"/>
      <c r="AL35" s="135"/>
      <c r="AM35" s="135"/>
      <c r="AN35" s="135"/>
      <c r="AO35" s="135"/>
      <c r="AP35" s="135"/>
    </row>
    <row r="36" spans="34:42" x14ac:dyDescent="0.25">
      <c r="AH36" s="136"/>
      <c r="AI36" s="136"/>
      <c r="AJ36" s="137"/>
      <c r="AK36" s="135"/>
      <c r="AL36" s="135"/>
      <c r="AM36" s="135"/>
      <c r="AN36" s="135"/>
      <c r="AO36" s="135"/>
      <c r="AP36" s="135"/>
    </row>
    <row r="37" spans="34:42" x14ac:dyDescent="0.25">
      <c r="AI37" s="136"/>
      <c r="AJ37" s="135"/>
      <c r="AK37" s="135"/>
      <c r="AL37" s="135"/>
      <c r="AM37" s="135"/>
      <c r="AN37" s="135"/>
      <c r="AO37" s="135"/>
      <c r="AP37" s="135"/>
    </row>
    <row r="38" spans="34:42" x14ac:dyDescent="0.25">
      <c r="AI38" s="136"/>
      <c r="AJ38" s="135"/>
      <c r="AK38" s="135"/>
      <c r="AL38" s="135"/>
      <c r="AM38" s="135"/>
      <c r="AN38" s="135"/>
      <c r="AO38" s="135"/>
      <c r="AP38" s="135"/>
    </row>
  </sheetData>
  <mergeCells count="7">
    <mergeCell ref="AH1:AL1"/>
    <mergeCell ref="AM1:AP1"/>
    <mergeCell ref="B1:D1"/>
    <mergeCell ref="E1:K1"/>
    <mergeCell ref="L1:R1"/>
    <mergeCell ref="S1:Y1"/>
    <mergeCell ref="Z1:AF1"/>
  </mergeCells>
  <printOptions horizontalCentered="1" gridLines="1"/>
  <pageMargins left="3.937007874015748E-2" right="3.937007874015748E-2" top="0.59055118110236227" bottom="0.59055118110236227" header="0.31496062992125984" footer="0.31496062992125984"/>
  <pageSetup fitToWidth="0" fitToHeight="0" orientation="landscape" r:id="rId1"/>
  <headerFooter alignWithMargins="0"/>
  <colBreaks count="1" manualBreakCount="1">
    <brk id="3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zoomScaleSheetLayoutView="100" workbookViewId="0">
      <pane ySplit="2" topLeftCell="A33" activePane="bottomLeft" state="frozen"/>
      <selection pane="bottomLeft" activeCell="E42" sqref="E42"/>
    </sheetView>
  </sheetViews>
  <sheetFormatPr defaultColWidth="8" defaultRowHeight="15.6" x14ac:dyDescent="0.3"/>
  <cols>
    <col min="1" max="1" width="10.88671875" style="9" customWidth="1"/>
    <col min="2" max="2" width="74.109375" style="9" customWidth="1"/>
    <col min="3" max="3" width="11.5546875" style="9" customWidth="1"/>
    <col min="4" max="16384" width="8" style="9"/>
  </cols>
  <sheetData>
    <row r="1" spans="1:3" ht="20.100000000000001" customHeight="1" x14ac:dyDescent="0.3">
      <c r="A1" s="317" t="s">
        <v>23</v>
      </c>
      <c r="B1" s="318"/>
      <c r="C1" s="318"/>
    </row>
    <row r="2" spans="1:3" ht="20.100000000000001" customHeight="1" x14ac:dyDescent="0.3">
      <c r="A2" s="8" t="s">
        <v>24</v>
      </c>
      <c r="B2" s="8" t="s">
        <v>25</v>
      </c>
      <c r="C2" s="8" t="s">
        <v>26</v>
      </c>
    </row>
    <row r="3" spans="1:3" ht="20.100000000000001" customHeight="1" x14ac:dyDescent="0.3">
      <c r="A3" s="8" t="s">
        <v>27</v>
      </c>
      <c r="B3" s="8" t="s">
        <v>28</v>
      </c>
      <c r="C3" s="8" t="s">
        <v>29</v>
      </c>
    </row>
    <row r="4" spans="1:3" ht="20.100000000000001" customHeight="1" x14ac:dyDescent="0.3">
      <c r="A4" s="8" t="s">
        <v>30</v>
      </c>
      <c r="B4" s="8" t="s">
        <v>31</v>
      </c>
      <c r="C4" s="8" t="s">
        <v>29</v>
      </c>
    </row>
    <row r="5" spans="1:3" ht="20.100000000000001" customHeight="1" x14ac:dyDescent="0.3">
      <c r="A5" s="8" t="s">
        <v>32</v>
      </c>
      <c r="B5" s="8" t="s">
        <v>33</v>
      </c>
      <c r="C5" s="8" t="s">
        <v>34</v>
      </c>
    </row>
    <row r="6" spans="1:3" ht="20.100000000000001" customHeight="1" x14ac:dyDescent="0.3">
      <c r="A6" s="8" t="s">
        <v>35</v>
      </c>
      <c r="B6" s="8" t="s">
        <v>36</v>
      </c>
      <c r="C6" s="8" t="s">
        <v>34</v>
      </c>
    </row>
    <row r="7" spans="1:3" ht="20.100000000000001" customHeight="1" x14ac:dyDescent="0.3">
      <c r="A7" s="8" t="s">
        <v>37</v>
      </c>
      <c r="B7" s="8" t="s">
        <v>38</v>
      </c>
      <c r="C7" s="8" t="s">
        <v>39</v>
      </c>
    </row>
    <row r="8" spans="1:3" ht="20.100000000000001" customHeight="1" x14ac:dyDescent="0.3">
      <c r="A8" s="8" t="s">
        <v>40</v>
      </c>
      <c r="B8" s="8" t="s">
        <v>41</v>
      </c>
      <c r="C8" s="8" t="s">
        <v>39</v>
      </c>
    </row>
    <row r="9" spans="1:3" ht="20.100000000000001" customHeight="1" x14ac:dyDescent="0.3">
      <c r="A9" s="8" t="s">
        <v>42</v>
      </c>
      <c r="B9" s="8" t="s">
        <v>43</v>
      </c>
      <c r="C9" s="8" t="s">
        <v>44</v>
      </c>
    </row>
    <row r="10" spans="1:3" ht="20.100000000000001" customHeight="1" x14ac:dyDescent="0.3">
      <c r="A10" s="8" t="s">
        <v>45</v>
      </c>
      <c r="B10" s="8" t="s">
        <v>46</v>
      </c>
      <c r="C10" s="8" t="s">
        <v>47</v>
      </c>
    </row>
    <row r="11" spans="1:3" ht="20.100000000000001" customHeight="1" x14ac:dyDescent="0.3">
      <c r="A11" s="8" t="s">
        <v>48</v>
      </c>
      <c r="B11" s="8" t="s">
        <v>49</v>
      </c>
      <c r="C11" s="8" t="s">
        <v>50</v>
      </c>
    </row>
    <row r="12" spans="1:3" ht="20.100000000000001" customHeight="1" x14ac:dyDescent="0.3">
      <c r="A12" s="8" t="s">
        <v>51</v>
      </c>
      <c r="B12" s="8" t="s">
        <v>52</v>
      </c>
      <c r="C12" s="8" t="s">
        <v>50</v>
      </c>
    </row>
    <row r="13" spans="1:3" ht="20.100000000000001" customHeight="1" x14ac:dyDescent="0.3">
      <c r="A13" s="8" t="s">
        <v>53</v>
      </c>
      <c r="B13" s="8" t="s">
        <v>54</v>
      </c>
      <c r="C13" s="8" t="s">
        <v>47</v>
      </c>
    </row>
    <row r="14" spans="1:3" ht="20.100000000000001" customHeight="1" x14ac:dyDescent="0.3">
      <c r="A14" s="8" t="s">
        <v>55</v>
      </c>
      <c r="B14" s="8" t="s">
        <v>56</v>
      </c>
      <c r="C14" s="8" t="s">
        <v>47</v>
      </c>
    </row>
    <row r="15" spans="1:3" ht="20.100000000000001" customHeight="1" x14ac:dyDescent="0.3">
      <c r="A15" s="8" t="s">
        <v>57</v>
      </c>
      <c r="B15" s="8" t="s">
        <v>58</v>
      </c>
      <c r="C15" s="8" t="s">
        <v>47</v>
      </c>
    </row>
    <row r="16" spans="1:3" ht="20.100000000000001" customHeight="1" x14ac:dyDescent="0.3">
      <c r="A16" s="8" t="s">
        <v>59</v>
      </c>
      <c r="B16" s="8" t="s">
        <v>60</v>
      </c>
      <c r="C16" s="8" t="s">
        <v>61</v>
      </c>
    </row>
    <row r="17" spans="1:3" ht="20.100000000000001" customHeight="1" x14ac:dyDescent="0.3">
      <c r="A17" s="8" t="s">
        <v>62</v>
      </c>
      <c r="B17" s="8" t="s">
        <v>63</v>
      </c>
      <c r="C17" s="8" t="s">
        <v>61</v>
      </c>
    </row>
    <row r="18" spans="1:3" ht="20.100000000000001" customHeight="1" x14ac:dyDescent="0.3">
      <c r="A18" s="8" t="s">
        <v>64</v>
      </c>
      <c r="B18" s="8" t="s">
        <v>65</v>
      </c>
      <c r="C18" s="8" t="s">
        <v>61</v>
      </c>
    </row>
    <row r="19" spans="1:3" ht="20.100000000000001" customHeight="1" x14ac:dyDescent="0.3">
      <c r="A19" s="8" t="s">
        <v>66</v>
      </c>
      <c r="B19" s="8" t="s">
        <v>67</v>
      </c>
      <c r="C19" s="8" t="s">
        <v>50</v>
      </c>
    </row>
    <row r="20" spans="1:3" ht="20.100000000000001" customHeight="1" x14ac:dyDescent="0.3">
      <c r="A20" s="8" t="s">
        <v>68</v>
      </c>
      <c r="B20" s="8" t="s">
        <v>69</v>
      </c>
      <c r="C20" s="8" t="s">
        <v>47</v>
      </c>
    </row>
    <row r="21" spans="1:3" ht="20.100000000000001" customHeight="1" x14ac:dyDescent="0.3">
      <c r="A21" s="8" t="s">
        <v>70</v>
      </c>
      <c r="B21" s="8" t="s">
        <v>71</v>
      </c>
      <c r="C21" s="8" t="s">
        <v>47</v>
      </c>
    </row>
    <row r="22" spans="1:3" ht="20.100000000000001" customHeight="1" x14ac:dyDescent="0.3">
      <c r="A22" s="8" t="s">
        <v>72</v>
      </c>
      <c r="B22" s="8" t="s">
        <v>73</v>
      </c>
      <c r="C22" s="8" t="s">
        <v>47</v>
      </c>
    </row>
    <row r="23" spans="1:3" ht="20.100000000000001" customHeight="1" x14ac:dyDescent="0.3">
      <c r="A23" s="8" t="s">
        <v>74</v>
      </c>
      <c r="B23" s="8" t="s">
        <v>75</v>
      </c>
      <c r="C23" s="8" t="s">
        <v>47</v>
      </c>
    </row>
    <row r="24" spans="1:3" ht="20.100000000000001" customHeight="1" x14ac:dyDescent="0.3">
      <c r="A24" s="8" t="s">
        <v>76</v>
      </c>
      <c r="B24" s="8" t="s">
        <v>77</v>
      </c>
      <c r="C24" s="8" t="s">
        <v>47</v>
      </c>
    </row>
    <row r="25" spans="1:3" ht="20.100000000000001" customHeight="1" x14ac:dyDescent="0.3">
      <c r="A25" s="8" t="s">
        <v>78</v>
      </c>
      <c r="B25" s="8" t="s">
        <v>79</v>
      </c>
      <c r="C25" s="8" t="s">
        <v>47</v>
      </c>
    </row>
    <row r="26" spans="1:3" ht="20.100000000000001" customHeight="1" x14ac:dyDescent="0.3">
      <c r="A26" s="8" t="s">
        <v>80</v>
      </c>
      <c r="B26" s="8" t="s">
        <v>81</v>
      </c>
      <c r="C26" s="8" t="s">
        <v>47</v>
      </c>
    </row>
    <row r="27" spans="1:3" ht="20.100000000000001" customHeight="1" x14ac:dyDescent="0.3">
      <c r="A27" s="8" t="s">
        <v>82</v>
      </c>
      <c r="B27" s="8" t="s">
        <v>83</v>
      </c>
      <c r="C27" s="8" t="s">
        <v>47</v>
      </c>
    </row>
    <row r="28" spans="1:3" ht="20.100000000000001" customHeight="1" x14ac:dyDescent="0.3">
      <c r="A28" s="8" t="s">
        <v>84</v>
      </c>
      <c r="B28" s="8" t="s">
        <v>85</v>
      </c>
      <c r="C28" s="8" t="s">
        <v>50</v>
      </c>
    </row>
    <row r="29" spans="1:3" ht="20.100000000000001" customHeight="1" x14ac:dyDescent="0.3">
      <c r="A29" s="8" t="s">
        <v>86</v>
      </c>
      <c r="B29" s="8" t="s">
        <v>87</v>
      </c>
      <c r="C29" s="8" t="s">
        <v>88</v>
      </c>
    </row>
    <row r="30" spans="1:3" ht="20.100000000000001" customHeight="1" x14ac:dyDescent="0.3">
      <c r="A30" s="8" t="s">
        <v>89</v>
      </c>
      <c r="B30" s="8" t="s">
        <v>90</v>
      </c>
      <c r="C30" s="8" t="s">
        <v>91</v>
      </c>
    </row>
    <row r="31" spans="1:3" ht="20.100000000000001" customHeight="1" x14ac:dyDescent="0.3">
      <c r="A31" s="8" t="s">
        <v>92</v>
      </c>
      <c r="B31" s="8" t="s">
        <v>93</v>
      </c>
      <c r="C31" s="8" t="s">
        <v>47</v>
      </c>
    </row>
    <row r="32" spans="1:3" ht="20.100000000000001" customHeight="1" x14ac:dyDescent="0.3">
      <c r="A32" s="8" t="s">
        <v>94</v>
      </c>
      <c r="B32" s="8" t="s">
        <v>95</v>
      </c>
      <c r="C32" s="8" t="s">
        <v>61</v>
      </c>
    </row>
    <row r="33" spans="1:4" ht="20.100000000000001" customHeight="1" x14ac:dyDescent="0.3">
      <c r="A33" s="8" t="s">
        <v>96</v>
      </c>
      <c r="B33" s="8" t="s">
        <v>97</v>
      </c>
      <c r="C33" s="8" t="s">
        <v>47</v>
      </c>
    </row>
    <row r="34" spans="1:4" ht="20.100000000000001" customHeight="1" x14ac:dyDescent="0.3">
      <c r="A34" s="8" t="s">
        <v>98</v>
      </c>
      <c r="B34" s="8" t="s">
        <v>99</v>
      </c>
      <c r="C34" s="8" t="s">
        <v>61</v>
      </c>
    </row>
    <row r="35" spans="1:4" ht="20.100000000000001" customHeight="1" x14ac:dyDescent="0.3">
      <c r="A35" s="8" t="s">
        <v>100</v>
      </c>
      <c r="B35" s="8" t="s">
        <v>101</v>
      </c>
      <c r="C35" s="8" t="s">
        <v>102</v>
      </c>
    </row>
    <row r="36" spans="1:4" ht="20.100000000000001" customHeight="1" x14ac:dyDescent="0.3">
      <c r="A36" s="8" t="s">
        <v>103</v>
      </c>
      <c r="B36" s="8" t="s">
        <v>79</v>
      </c>
      <c r="C36" s="8" t="s">
        <v>47</v>
      </c>
    </row>
    <row r="37" spans="1:4" ht="20.100000000000001" customHeight="1" x14ac:dyDescent="0.3">
      <c r="A37" s="8" t="s">
        <v>104</v>
      </c>
      <c r="B37" s="8" t="s">
        <v>105</v>
      </c>
    </row>
    <row r="38" spans="1:4" ht="20.100000000000001" customHeight="1" x14ac:dyDescent="0.3">
      <c r="A38" s="8" t="s">
        <v>106</v>
      </c>
      <c r="B38" s="8" t="s">
        <v>107</v>
      </c>
    </row>
    <row r="39" spans="1:4" ht="20.100000000000001" customHeight="1" x14ac:dyDescent="0.3">
      <c r="A39" s="8" t="s">
        <v>108</v>
      </c>
      <c r="B39" s="8" t="s">
        <v>109</v>
      </c>
    </row>
    <row r="40" spans="1:4" ht="20.100000000000001" customHeight="1" x14ac:dyDescent="0.3">
      <c r="A40" s="8" t="s">
        <v>110</v>
      </c>
      <c r="B40" s="8" t="s">
        <v>111</v>
      </c>
      <c r="C40" s="8" t="s">
        <v>112</v>
      </c>
    </row>
    <row r="41" spans="1:4" ht="20.100000000000001" customHeight="1" x14ac:dyDescent="0.3">
      <c r="A41" s="8" t="s">
        <v>113</v>
      </c>
      <c r="B41" s="8" t="s">
        <v>114</v>
      </c>
      <c r="C41" s="8" t="s">
        <v>115</v>
      </c>
    </row>
    <row r="42" spans="1:4" ht="20.100000000000001" customHeight="1" x14ac:dyDescent="0.3">
      <c r="A42" s="8" t="s">
        <v>116</v>
      </c>
      <c r="B42" s="8" t="s">
        <v>117</v>
      </c>
      <c r="C42" s="8" t="s">
        <v>50</v>
      </c>
    </row>
    <row r="43" spans="1:4" ht="20.100000000000001" customHeight="1" x14ac:dyDescent="0.3">
      <c r="A43" s="8" t="s">
        <v>118</v>
      </c>
      <c r="B43" s="8" t="s">
        <v>119</v>
      </c>
      <c r="C43" s="8" t="s">
        <v>115</v>
      </c>
    </row>
    <row r="44" spans="1:4" ht="20.100000000000001" customHeight="1" x14ac:dyDescent="0.3">
      <c r="A44" s="2" t="s">
        <v>120</v>
      </c>
      <c r="B44" s="2" t="s">
        <v>121</v>
      </c>
      <c r="C44" s="2" t="s">
        <v>50</v>
      </c>
      <c r="D44"/>
    </row>
    <row r="45" spans="1:4" ht="20.100000000000001" customHeight="1" x14ac:dyDescent="0.3">
      <c r="A45" s="2" t="s">
        <v>122</v>
      </c>
      <c r="B45" s="2" t="s">
        <v>123</v>
      </c>
      <c r="C45" s="2" t="s">
        <v>50</v>
      </c>
      <c r="D45"/>
    </row>
    <row r="46" spans="1:4" ht="20.100000000000001" customHeight="1" x14ac:dyDescent="0.3">
      <c r="A46" s="2" t="s">
        <v>124</v>
      </c>
      <c r="B46" s="2" t="s">
        <v>125</v>
      </c>
      <c r="C46" s="2" t="s">
        <v>50</v>
      </c>
      <c r="D46"/>
    </row>
    <row r="47" spans="1:4" ht="20.100000000000001" customHeight="1" x14ac:dyDescent="0.3">
      <c r="A47" s="2" t="s">
        <v>126</v>
      </c>
      <c r="B47" s="2" t="s">
        <v>127</v>
      </c>
      <c r="C47" s="2" t="s">
        <v>50</v>
      </c>
      <c r="D47"/>
    </row>
    <row r="48" spans="1:4" ht="20.100000000000001" customHeight="1" x14ac:dyDescent="0.3">
      <c r="A48" s="2" t="s">
        <v>128</v>
      </c>
      <c r="B48" s="2" t="s">
        <v>129</v>
      </c>
      <c r="C48" s="2" t="s">
        <v>50</v>
      </c>
      <c r="D48"/>
    </row>
    <row r="49" spans="1:4" ht="20.100000000000001" customHeight="1" x14ac:dyDescent="0.3">
      <c r="A49" s="2" t="s">
        <v>130</v>
      </c>
      <c r="B49" s="2" t="s">
        <v>131</v>
      </c>
      <c r="C49" s="2" t="s">
        <v>34</v>
      </c>
      <c r="D49"/>
    </row>
    <row r="50" spans="1:4" ht="20.100000000000001" customHeight="1" x14ac:dyDescent="0.3">
      <c r="A50" s="2" t="s">
        <v>132</v>
      </c>
      <c r="B50" s="2" t="s">
        <v>133</v>
      </c>
      <c r="C50" s="2" t="s">
        <v>88</v>
      </c>
      <c r="D50"/>
    </row>
    <row r="51" spans="1:4" x14ac:dyDescent="0.3">
      <c r="A51" s="2" t="s">
        <v>134</v>
      </c>
      <c r="B51" s="2" t="s">
        <v>135</v>
      </c>
      <c r="C51" s="2" t="s">
        <v>88</v>
      </c>
      <c r="D51"/>
    </row>
    <row r="52" spans="1:4" x14ac:dyDescent="0.3">
      <c r="A52" s="2" t="s">
        <v>136</v>
      </c>
      <c r="B52" s="2" t="s">
        <v>137</v>
      </c>
      <c r="C52" s="2" t="s">
        <v>88</v>
      </c>
      <c r="D52"/>
    </row>
    <row r="53" spans="1:4" x14ac:dyDescent="0.3">
      <c r="A53" s="2" t="s">
        <v>138</v>
      </c>
      <c r="B53" s="2" t="s">
        <v>139</v>
      </c>
      <c r="C53" s="2" t="s">
        <v>88</v>
      </c>
      <c r="D53"/>
    </row>
    <row r="54" spans="1:4" x14ac:dyDescent="0.3">
      <c r="A54" s="2" t="s">
        <v>510</v>
      </c>
      <c r="B54" s="2" t="s">
        <v>140</v>
      </c>
      <c r="C54" s="2" t="s">
        <v>91</v>
      </c>
      <c r="D54"/>
    </row>
    <row r="55" spans="1:4" x14ac:dyDescent="0.3">
      <c r="A55" s="2" t="s">
        <v>141</v>
      </c>
      <c r="B55" s="2" t="s">
        <v>142</v>
      </c>
      <c r="C55" s="2" t="s">
        <v>91</v>
      </c>
      <c r="D55"/>
    </row>
    <row r="56" spans="1:4" x14ac:dyDescent="0.3">
      <c r="A56" s="2" t="s">
        <v>143</v>
      </c>
      <c r="B56" s="2" t="s">
        <v>144</v>
      </c>
      <c r="C56" s="2" t="s">
        <v>91</v>
      </c>
      <c r="D56"/>
    </row>
    <row r="57" spans="1:4" x14ac:dyDescent="0.3">
      <c r="A57" s="2" t="s">
        <v>511</v>
      </c>
      <c r="B57" s="2" t="s">
        <v>145</v>
      </c>
      <c r="C57" s="2" t="s">
        <v>91</v>
      </c>
      <c r="D57"/>
    </row>
    <row r="58" spans="1:4" x14ac:dyDescent="0.3">
      <c r="A58" s="2" t="s">
        <v>146</v>
      </c>
      <c r="B58" s="2" t="s">
        <v>147</v>
      </c>
      <c r="C58" s="2" t="s">
        <v>148</v>
      </c>
      <c r="D58"/>
    </row>
    <row r="59" spans="1:4" x14ac:dyDescent="0.3">
      <c r="A59" s="2" t="s">
        <v>149</v>
      </c>
      <c r="B59" s="2" t="s">
        <v>150</v>
      </c>
      <c r="C59" s="2" t="s">
        <v>151</v>
      </c>
      <c r="D59"/>
    </row>
    <row r="60" spans="1:4" x14ac:dyDescent="0.3">
      <c r="A60" s="2" t="s">
        <v>152</v>
      </c>
      <c r="B60" s="2" t="s">
        <v>153</v>
      </c>
      <c r="C60" s="2" t="s">
        <v>154</v>
      </c>
      <c r="D60"/>
    </row>
    <row r="61" spans="1:4" x14ac:dyDescent="0.3">
      <c r="A61" s="2" t="s">
        <v>155</v>
      </c>
      <c r="B61" s="2" t="s">
        <v>156</v>
      </c>
      <c r="C61"/>
      <c r="D61"/>
    </row>
    <row r="62" spans="1:4" x14ac:dyDescent="0.3">
      <c r="A62" s="2" t="s">
        <v>157</v>
      </c>
      <c r="B62" s="2" t="s">
        <v>158</v>
      </c>
      <c r="C62"/>
      <c r="D62"/>
    </row>
  </sheetData>
  <mergeCells count="1">
    <mergeCell ref="A1:C1"/>
  </mergeCells>
  <printOptions horizontalCentered="1" gridLines="1"/>
  <pageMargins left="7.874015748031496E-2" right="7.874015748031496E-2" top="7.874015748031496E-2" bottom="7.874015748031496E-2" header="0.31496062992125984" footer="0.31496062992125984"/>
  <pageSetup fitToWidth="0" fitToHeight="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H15" sqref="H15"/>
    </sheetView>
  </sheetViews>
  <sheetFormatPr defaultRowHeight="13.2" x14ac:dyDescent="0.25"/>
  <cols>
    <col min="1" max="1" width="26.109375" customWidth="1"/>
    <col min="2" max="5" width="13.44140625" customWidth="1"/>
    <col min="6" max="6" width="18" style="214" customWidth="1"/>
    <col min="7" max="7" width="13.44140625"/>
  </cols>
  <sheetData>
    <row r="1" spans="1:7" ht="15.6" x14ac:dyDescent="0.25">
      <c r="A1" s="180"/>
      <c r="B1" s="363" t="s">
        <v>798</v>
      </c>
      <c r="C1" s="321"/>
      <c r="D1" s="321"/>
      <c r="E1" s="363" t="s">
        <v>1066</v>
      </c>
      <c r="F1" s="321"/>
      <c r="G1" s="321"/>
    </row>
    <row r="2" spans="1:7" ht="28.8" x14ac:dyDescent="0.25">
      <c r="A2" s="197"/>
      <c r="B2" s="198" t="s">
        <v>799</v>
      </c>
      <c r="C2" s="198" t="s">
        <v>800</v>
      </c>
      <c r="D2" s="198" t="s">
        <v>801</v>
      </c>
      <c r="E2" s="321"/>
      <c r="F2" s="321"/>
      <c r="G2" s="321"/>
    </row>
    <row r="3" spans="1:7" s="183" customFormat="1" ht="24.9" customHeight="1" x14ac:dyDescent="0.25">
      <c r="A3" s="211" t="s">
        <v>802</v>
      </c>
      <c r="B3" s="101"/>
      <c r="C3" s="101"/>
      <c r="D3" s="101"/>
      <c r="E3" s="364" t="s">
        <v>803</v>
      </c>
      <c r="F3" s="364"/>
      <c r="G3" s="221">
        <f>+Dados!B48*Dados!B5</f>
        <v>67500</v>
      </c>
    </row>
    <row r="4" spans="1:7" s="183" customFormat="1" ht="24.9" customHeight="1" x14ac:dyDescent="0.25">
      <c r="A4" s="147" t="s">
        <v>843</v>
      </c>
      <c r="B4" s="101">
        <f>+Trator35!B28*Enc_TrEquip!F23</f>
        <v>1041.1087500000001</v>
      </c>
      <c r="C4" s="101">
        <f>+Trator35!C28*Enc_TrEquip!F23</f>
        <v>1569.49125</v>
      </c>
      <c r="D4" s="101">
        <f>+B4+C4</f>
        <v>2610.6000000000004</v>
      </c>
      <c r="E4" s="364" t="s">
        <v>804</v>
      </c>
      <c r="F4" s="364"/>
      <c r="G4" s="221">
        <f>+Dados!C48</f>
        <v>10</v>
      </c>
    </row>
    <row r="5" spans="1:7" s="183" customFormat="1" ht="24.9" customHeight="1" x14ac:dyDescent="0.25">
      <c r="A5" s="147" t="s">
        <v>844</v>
      </c>
      <c r="B5" s="101">
        <f>+Trator53!B28*Enc_TrEquip!F24</f>
        <v>1657.1177750000002</v>
      </c>
      <c r="C5" s="101">
        <f>+Trator53!C28*Enc_TrEquip!F24</f>
        <v>2335.7704599999997</v>
      </c>
      <c r="D5" s="101">
        <f>+B5+C5</f>
        <v>3992.8882349999999</v>
      </c>
      <c r="E5" s="364" t="s">
        <v>805</v>
      </c>
      <c r="F5" s="364"/>
      <c r="G5" s="221">
        <f>+G3*(100-G4)/100</f>
        <v>60750</v>
      </c>
    </row>
    <row r="6" spans="1:7" s="183" customFormat="1" ht="24.9" customHeight="1" x14ac:dyDescent="0.25">
      <c r="A6" s="147" t="s">
        <v>845</v>
      </c>
      <c r="B6" s="101">
        <f>+Trator60!B28*Enc_TrEquip!F25</f>
        <v>2381.8555089285715</v>
      </c>
      <c r="C6" s="101">
        <f>+Trator60!C28*Enc_TrEquip!F25</f>
        <v>1564.0243267857143</v>
      </c>
      <c r="D6" s="101">
        <f>+B6+C6</f>
        <v>3945.8798357142859</v>
      </c>
      <c r="E6" s="362" t="s">
        <v>807</v>
      </c>
      <c r="F6" s="362"/>
      <c r="G6" s="221">
        <f>+G5*Dados!E48</f>
        <v>121500</v>
      </c>
    </row>
    <row r="7" spans="1:7" s="183" customFormat="1" ht="24.9" customHeight="1" x14ac:dyDescent="0.25">
      <c r="A7" s="212" t="s">
        <v>806</v>
      </c>
      <c r="B7" s="184">
        <f>SUM(B4:B6)</f>
        <v>5080.082033928571</v>
      </c>
      <c r="C7" s="184">
        <f t="shared" ref="C7:D7" si="0">SUM(C4:C6)</f>
        <v>5469.2860367857138</v>
      </c>
      <c r="D7" s="184">
        <f t="shared" si="0"/>
        <v>10549.368070714287</v>
      </c>
      <c r="E7" s="362" t="s">
        <v>809</v>
      </c>
      <c r="F7" s="362"/>
      <c r="G7" s="221">
        <f>+G6-C38</f>
        <v>87881.473106071426</v>
      </c>
    </row>
    <row r="8" spans="1:7" ht="15.6" x14ac:dyDescent="0.25">
      <c r="A8" s="199" t="s">
        <v>808</v>
      </c>
      <c r="B8" s="101"/>
      <c r="C8" s="101"/>
      <c r="D8" s="101"/>
      <c r="E8" s="362" t="s">
        <v>1062</v>
      </c>
      <c r="F8" s="364"/>
      <c r="G8" s="221">
        <f>+G6-D38</f>
        <v>16933.084697142855</v>
      </c>
    </row>
    <row r="9" spans="1:7" ht="24.9" customHeight="1" x14ac:dyDescent="0.25">
      <c r="A9" s="147" t="s">
        <v>5</v>
      </c>
      <c r="B9" s="101">
        <f>+PrePoda!B32*PrePoda!C32</f>
        <v>532.5</v>
      </c>
      <c r="C9" s="101">
        <f>+PrePoda!B32*PrePoda!D32</f>
        <v>37.5</v>
      </c>
      <c r="D9" s="101">
        <f>+B9+C9</f>
        <v>570</v>
      </c>
      <c r="E9" s="362" t="s">
        <v>1061</v>
      </c>
      <c r="F9" s="365"/>
      <c r="G9" s="221">
        <f>+G8/Dados!B5</f>
        <v>1881.453855238095</v>
      </c>
    </row>
    <row r="10" spans="1:7" ht="24.9" customHeight="1" x14ac:dyDescent="0.25">
      <c r="A10" s="147" t="s">
        <v>829</v>
      </c>
      <c r="B10" s="101">
        <f>+TritSar!B32*TritSar!C32</f>
        <v>266.25</v>
      </c>
      <c r="C10" s="101">
        <f>+TritSar!B32*TritSar!D32</f>
        <v>18.75</v>
      </c>
      <c r="D10" s="101">
        <f t="shared" ref="D10:D16" si="1">+B10+C10</f>
        <v>285</v>
      </c>
      <c r="E10" s="364" t="s">
        <v>810</v>
      </c>
      <c r="F10" s="364"/>
      <c r="G10" s="222">
        <f>+D38/G5</f>
        <v>1.7212660955202823</v>
      </c>
    </row>
    <row r="11" spans="1:7" s="183" customFormat="1" ht="24.9" customHeight="1" x14ac:dyDescent="0.25">
      <c r="A11" s="147" t="s">
        <v>830</v>
      </c>
      <c r="B11" s="101">
        <f>+LocAdubo!B32*LocAdubo!C32</f>
        <v>266.25</v>
      </c>
      <c r="C11" s="101">
        <f>+LocAdubo!B32*LocAdubo!D32</f>
        <v>32.142857142857139</v>
      </c>
      <c r="D11" s="101">
        <f t="shared" si="1"/>
        <v>298.39285714285711</v>
      </c>
      <c r="E11" s="364" t="s">
        <v>811</v>
      </c>
      <c r="F11" s="364"/>
      <c r="G11" s="222">
        <f>+Dados!E48</f>
        <v>2</v>
      </c>
    </row>
    <row r="12" spans="1:7" ht="24.9" customHeight="1" x14ac:dyDescent="0.25">
      <c r="A12" s="147" t="s">
        <v>831</v>
      </c>
      <c r="B12" s="101">
        <f>+Escar!A32*Escar!C32</f>
        <v>9.984375</v>
      </c>
      <c r="C12" s="101">
        <f>+Escar!A32*Escar!D32</f>
        <v>1.8</v>
      </c>
      <c r="D12" s="101">
        <f t="shared" si="1"/>
        <v>11.784375000000001</v>
      </c>
      <c r="E12" s="181"/>
      <c r="F12" s="182"/>
      <c r="G12" s="200"/>
    </row>
    <row r="13" spans="1:7" ht="24.9" customHeight="1" x14ac:dyDescent="0.25">
      <c r="A13" s="203" t="s">
        <v>11</v>
      </c>
      <c r="B13" s="101">
        <f>+Pulv!B32*Pulv!C32</f>
        <v>798.75</v>
      </c>
      <c r="C13" s="101">
        <f>+Pulv!B32*Pulv!D32</f>
        <v>337.5</v>
      </c>
      <c r="D13" s="101">
        <f t="shared" si="1"/>
        <v>1136.25</v>
      </c>
      <c r="E13" s="336" t="s">
        <v>668</v>
      </c>
      <c r="F13" s="347"/>
      <c r="G13" s="200"/>
    </row>
    <row r="14" spans="1:7" ht="24.9" customHeight="1" x14ac:dyDescent="0.25">
      <c r="A14" s="205" t="s">
        <v>832</v>
      </c>
      <c r="B14" s="101">
        <f>+Despont!B32*Despont!C32</f>
        <v>319.5</v>
      </c>
      <c r="C14" s="101">
        <f>+Despont!B32*Despont!D32</f>
        <v>45</v>
      </c>
      <c r="D14" s="101">
        <f t="shared" si="1"/>
        <v>364.5</v>
      </c>
      <c r="E14" s="336" t="s">
        <v>667</v>
      </c>
      <c r="F14" s="347"/>
      <c r="G14" s="200"/>
    </row>
    <row r="15" spans="1:7" ht="24.9" customHeight="1" x14ac:dyDescent="0.25">
      <c r="A15" s="204" t="s">
        <v>846</v>
      </c>
      <c r="B15" s="101">
        <f>+Reboq3.5!B32*Reboq3.5!C32</f>
        <v>369.55500000000001</v>
      </c>
      <c r="C15" s="101">
        <f>+Reboq4.5!B32*Reboq4.5!D32</f>
        <v>90.774000000000001</v>
      </c>
      <c r="D15" s="101">
        <f t="shared" si="1"/>
        <v>460.32900000000001</v>
      </c>
      <c r="E15" s="336" t="s">
        <v>833</v>
      </c>
      <c r="F15" s="347"/>
      <c r="G15" s="200"/>
    </row>
    <row r="16" spans="1:7" ht="24.9" customHeight="1" x14ac:dyDescent="0.25">
      <c r="A16" s="204" t="s">
        <v>847</v>
      </c>
      <c r="B16" s="101">
        <f>+Reboq4.5!B32*Reboq4.5!C32</f>
        <v>470.51700000000005</v>
      </c>
      <c r="C16" s="101">
        <f>+C15</f>
        <v>90.774000000000001</v>
      </c>
      <c r="D16" s="101">
        <f t="shared" si="1"/>
        <v>561.29100000000005</v>
      </c>
      <c r="E16" s="181"/>
      <c r="F16" s="182"/>
      <c r="G16" s="200"/>
    </row>
    <row r="17" spans="1:7" ht="14.4" x14ac:dyDescent="0.25">
      <c r="A17" s="201" t="s">
        <v>812</v>
      </c>
      <c r="B17" s="184">
        <f>SUM(B9:B16)</f>
        <v>3033.3063750000001</v>
      </c>
      <c r="C17" s="184">
        <f t="shared" ref="C17:D17" si="2">SUM(C9:C16)</f>
        <v>654.24085714285718</v>
      </c>
      <c r="D17" s="184">
        <f t="shared" si="2"/>
        <v>3687.5472321428574</v>
      </c>
      <c r="E17" s="181"/>
      <c r="F17" s="182"/>
      <c r="G17" s="200"/>
    </row>
    <row r="18" spans="1:7" ht="24" x14ac:dyDescent="0.25">
      <c r="A18" s="185" t="s">
        <v>813</v>
      </c>
      <c r="B18" s="181"/>
      <c r="C18" s="181"/>
      <c r="D18" s="181"/>
      <c r="E18" s="181"/>
      <c r="F18" s="182"/>
      <c r="G18" s="200"/>
    </row>
    <row r="19" spans="1:7" ht="24.9" customHeight="1" x14ac:dyDescent="0.25">
      <c r="A19" s="147" t="s">
        <v>814</v>
      </c>
      <c r="B19" s="101">
        <f>+Dados!E9</f>
        <v>27300</v>
      </c>
      <c r="C19" s="181"/>
      <c r="D19" s="101">
        <f>+B19</f>
        <v>27300</v>
      </c>
      <c r="E19" s="181"/>
      <c r="F19" s="182"/>
      <c r="G19" s="200"/>
    </row>
    <row r="20" spans="1:7" ht="24.9" customHeight="1" x14ac:dyDescent="0.25">
      <c r="A20" s="149" t="s">
        <v>815</v>
      </c>
      <c r="B20" s="101">
        <f>+Dados!E10</f>
        <v>35490</v>
      </c>
      <c r="C20" s="181"/>
      <c r="D20" s="101">
        <f>+B20</f>
        <v>35490</v>
      </c>
      <c r="E20" s="181"/>
      <c r="F20" s="182"/>
      <c r="G20" s="200"/>
    </row>
    <row r="21" spans="1:7" ht="24.9" customHeight="1" x14ac:dyDescent="0.25">
      <c r="A21" s="185" t="s">
        <v>816</v>
      </c>
      <c r="B21" s="181"/>
      <c r="C21" s="181"/>
      <c r="D21" s="181"/>
      <c r="E21" s="181"/>
      <c r="F21" s="182"/>
      <c r="G21" s="200"/>
    </row>
    <row r="22" spans="1:7" ht="24.9" customHeight="1" x14ac:dyDescent="0.25">
      <c r="A22" s="147" t="s">
        <v>817</v>
      </c>
      <c r="B22" s="181"/>
      <c r="C22" s="181">
        <f>+Dados!E18</f>
        <v>11250</v>
      </c>
      <c r="D22" s="181">
        <f>+C22</f>
        <v>11250</v>
      </c>
      <c r="E22" s="181"/>
      <c r="F22" s="182"/>
      <c r="G22" s="200"/>
    </row>
    <row r="23" spans="1:7" ht="24.9" customHeight="1" x14ac:dyDescent="0.25">
      <c r="A23" s="147" t="s">
        <v>631</v>
      </c>
      <c r="B23" s="181"/>
      <c r="C23" s="181"/>
      <c r="D23" s="181"/>
      <c r="E23" s="181"/>
      <c r="F23" s="182"/>
      <c r="G23" s="200"/>
    </row>
    <row r="24" spans="1:7" ht="24.9" customHeight="1" x14ac:dyDescent="0.25">
      <c r="A24" s="185" t="s">
        <v>818</v>
      </c>
      <c r="B24" s="181"/>
      <c r="C24" s="181"/>
      <c r="D24" s="181"/>
      <c r="E24" s="181"/>
      <c r="F24" s="182"/>
      <c r="G24" s="200"/>
    </row>
    <row r="25" spans="1:7" ht="24.9" customHeight="1" x14ac:dyDescent="0.25">
      <c r="A25" s="147" t="s">
        <v>819</v>
      </c>
      <c r="B25" s="181"/>
      <c r="C25" s="181">
        <f>+Dados!E21</f>
        <v>4500</v>
      </c>
      <c r="D25" s="181">
        <f>+C25</f>
        <v>4500</v>
      </c>
      <c r="E25" s="181"/>
      <c r="F25" s="182"/>
      <c r="G25" s="200"/>
    </row>
    <row r="26" spans="1:7" ht="24.9" customHeight="1" x14ac:dyDescent="0.25">
      <c r="A26" s="147" t="s">
        <v>820</v>
      </c>
      <c r="B26" s="181"/>
      <c r="C26" s="181">
        <f>+Dados!E24</f>
        <v>3375</v>
      </c>
      <c r="D26" s="181">
        <f>+C26</f>
        <v>3375</v>
      </c>
      <c r="E26" s="181"/>
      <c r="F26" s="182"/>
      <c r="G26" s="200"/>
    </row>
    <row r="27" spans="1:7" ht="24.9" customHeight="1" x14ac:dyDescent="0.25">
      <c r="A27" s="180" t="s">
        <v>631</v>
      </c>
      <c r="B27" s="181"/>
      <c r="C27" s="181"/>
      <c r="D27" s="181"/>
      <c r="E27" s="181"/>
      <c r="F27" s="182"/>
      <c r="G27" s="200"/>
    </row>
    <row r="28" spans="1:7" ht="24.9" customHeight="1" x14ac:dyDescent="0.25">
      <c r="A28" s="185" t="s">
        <v>821</v>
      </c>
      <c r="B28" s="181"/>
      <c r="C28" s="181"/>
      <c r="D28" s="181"/>
      <c r="E28" s="181"/>
      <c r="F28" s="182"/>
      <c r="G28" s="200"/>
    </row>
    <row r="29" spans="1:7" ht="24.9" customHeight="1" x14ac:dyDescent="0.25">
      <c r="A29" s="206" t="s">
        <v>822</v>
      </c>
      <c r="B29" s="181">
        <f>+Dados!E43</f>
        <v>25</v>
      </c>
      <c r="C29" s="181"/>
      <c r="D29" s="181"/>
      <c r="E29" s="181"/>
      <c r="F29" s="182"/>
      <c r="G29" s="200"/>
    </row>
    <row r="30" spans="1:7" ht="24.9" customHeight="1" x14ac:dyDescent="0.25">
      <c r="A30" s="206" t="s">
        <v>653</v>
      </c>
      <c r="B30" s="181">
        <f>+Dados!E44</f>
        <v>20</v>
      </c>
      <c r="C30" s="181"/>
      <c r="D30" s="181"/>
      <c r="E30" s="181"/>
      <c r="F30" s="182"/>
      <c r="G30" s="200"/>
    </row>
    <row r="31" spans="1:7" ht="24.9" customHeight="1" x14ac:dyDescent="0.25">
      <c r="A31" s="180" t="s">
        <v>4</v>
      </c>
      <c r="B31" s="181"/>
      <c r="C31" s="181"/>
      <c r="D31" s="181"/>
      <c r="E31" s="181"/>
      <c r="F31" s="182"/>
      <c r="G31" s="200"/>
    </row>
    <row r="32" spans="1:7" ht="24.9" customHeight="1" x14ac:dyDescent="0.25">
      <c r="A32" s="185" t="s">
        <v>823</v>
      </c>
      <c r="B32" s="181"/>
      <c r="C32" s="181"/>
      <c r="D32" s="181"/>
      <c r="E32" s="181"/>
      <c r="F32" s="182"/>
      <c r="G32" s="200"/>
    </row>
    <row r="33" spans="1:7" ht="24.9" customHeight="1" x14ac:dyDescent="0.25">
      <c r="A33" s="207" t="s">
        <v>824</v>
      </c>
      <c r="B33" s="181"/>
      <c r="C33" s="101">
        <f>+Dados!F30</f>
        <v>270</v>
      </c>
      <c r="D33" s="181"/>
      <c r="E33" s="181"/>
      <c r="F33" s="182"/>
      <c r="G33" s="202"/>
    </row>
    <row r="34" spans="1:7" ht="24.9" customHeight="1" x14ac:dyDescent="0.25">
      <c r="A34" s="207" t="s">
        <v>825</v>
      </c>
      <c r="B34" s="181"/>
      <c r="C34" s="101">
        <f>+Dados!F32+Dados!F33</f>
        <v>1800</v>
      </c>
      <c r="D34" s="181"/>
      <c r="E34" s="181"/>
      <c r="F34" s="182"/>
      <c r="G34" s="200"/>
    </row>
    <row r="35" spans="1:7" ht="24.9" customHeight="1" x14ac:dyDescent="0.25">
      <c r="A35" s="208" t="s">
        <v>826</v>
      </c>
      <c r="B35" s="181"/>
      <c r="C35" s="101">
        <f>+Dados!F35+Dados!F36+Dados!F37</f>
        <v>5625</v>
      </c>
      <c r="D35" s="181"/>
      <c r="E35" s="181"/>
      <c r="F35" s="182"/>
      <c r="G35" s="202"/>
    </row>
    <row r="36" spans="1:7" ht="24.9" customHeight="1" x14ac:dyDescent="0.25">
      <c r="A36" s="208" t="s">
        <v>827</v>
      </c>
      <c r="B36" s="181"/>
      <c r="C36" s="101">
        <f>+Dados!F39</f>
        <v>675</v>
      </c>
      <c r="D36" s="181"/>
      <c r="E36" s="181"/>
      <c r="F36" s="182"/>
      <c r="G36" s="200"/>
    </row>
    <row r="37" spans="1:7" ht="24.9" customHeight="1" x14ac:dyDescent="0.25">
      <c r="A37" s="180" t="s">
        <v>4</v>
      </c>
      <c r="B37" s="181"/>
      <c r="C37" s="181"/>
      <c r="D37" s="181"/>
      <c r="E37" s="101"/>
      <c r="F37" s="213"/>
      <c r="G37" s="202"/>
    </row>
    <row r="38" spans="1:7" ht="24.9" customHeight="1" x14ac:dyDescent="0.25">
      <c r="A38" s="209" t="s">
        <v>828</v>
      </c>
      <c r="B38" s="210">
        <f>+B7+B17+B19+B20+B29+B30</f>
        <v>70948.388408928571</v>
      </c>
      <c r="C38" s="210">
        <f>+C7+C17+C22+C25+C26+C33+C34+C35+C36</f>
        <v>33618.526893928574</v>
      </c>
      <c r="D38" s="210">
        <f>+B38+C38</f>
        <v>104566.91530285715</v>
      </c>
    </row>
  </sheetData>
  <mergeCells count="14">
    <mergeCell ref="E14:F14"/>
    <mergeCell ref="E15:F15"/>
    <mergeCell ref="E7:F7"/>
    <mergeCell ref="E8:F8"/>
    <mergeCell ref="E10:F10"/>
    <mergeCell ref="E11:F11"/>
    <mergeCell ref="E9:F9"/>
    <mergeCell ref="E6:F6"/>
    <mergeCell ref="E13:F13"/>
    <mergeCell ref="B1:D1"/>
    <mergeCell ref="E1:G2"/>
    <mergeCell ref="E3:F3"/>
    <mergeCell ref="E4:F4"/>
    <mergeCell ref="E5:F5"/>
  </mergeCells>
  <pageMargins left="0.7" right="0.7" top="0.75" bottom="0.75" header="0.3" footer="0.3"/>
  <pageSetup paperSize="9" orientation="portrait" horizontalDpi="4294967293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zoomScaleSheetLayoutView="100" workbookViewId="0">
      <pane ySplit="5" topLeftCell="A15" activePane="bottomLeft" state="frozen"/>
      <selection pane="bottomLeft" activeCell="C3" sqref="C3"/>
    </sheetView>
  </sheetViews>
  <sheetFormatPr defaultColWidth="8" defaultRowHeight="13.2" x14ac:dyDescent="0.25"/>
  <cols>
    <col min="1" max="2" width="4.33203125" customWidth="1"/>
    <col min="3" max="3" width="10.33203125" customWidth="1"/>
    <col min="4" max="4" width="3.88671875" bestFit="1" customWidth="1"/>
    <col min="5" max="5" width="5.6640625" customWidth="1"/>
    <col min="6" max="6" width="6.44140625" customWidth="1"/>
    <col min="7" max="7" width="6.88671875" customWidth="1"/>
    <col min="8" max="8" width="7.109375" customWidth="1"/>
    <col min="9" max="9" width="7.33203125" customWidth="1"/>
    <col min="10" max="10" width="6" bestFit="1" customWidth="1"/>
    <col min="11" max="11" width="9.5546875" bestFit="1" customWidth="1"/>
    <col min="12" max="12" width="7.33203125" bestFit="1" customWidth="1"/>
    <col min="13" max="13" width="9.109375" customWidth="1"/>
    <col min="14" max="14" width="8" bestFit="1" customWidth="1"/>
    <col min="15" max="15" width="9" bestFit="1" customWidth="1"/>
    <col min="16" max="16" width="7.88671875" bestFit="1" customWidth="1"/>
    <col min="17" max="17" width="6.5546875" bestFit="1" customWidth="1"/>
    <col min="18" max="18" width="6.6640625" bestFit="1" customWidth="1"/>
    <col min="19" max="19" width="6.33203125" bestFit="1" customWidth="1"/>
    <col min="20" max="20" width="8.6640625" bestFit="1" customWidth="1"/>
    <col min="21" max="21" width="8.33203125" bestFit="1" customWidth="1"/>
  </cols>
  <sheetData>
    <row r="1" spans="1:21" ht="20.100000000000001" customHeight="1" x14ac:dyDescent="0.25">
      <c r="A1" s="366" t="s">
        <v>415</v>
      </c>
      <c r="B1" s="366" t="s">
        <v>195</v>
      </c>
      <c r="C1" s="368" t="s">
        <v>193</v>
      </c>
      <c r="D1" s="369"/>
      <c r="E1" s="369"/>
      <c r="F1" s="369"/>
      <c r="G1" s="369"/>
      <c r="H1" s="20"/>
      <c r="I1" s="21"/>
      <c r="J1" s="22"/>
      <c r="K1" s="22" t="s">
        <v>482</v>
      </c>
      <c r="L1" s="22" t="s">
        <v>483</v>
      </c>
      <c r="M1" s="22" t="s">
        <v>484</v>
      </c>
      <c r="N1" s="23" t="s">
        <v>485</v>
      </c>
      <c r="O1" s="23" t="s">
        <v>486</v>
      </c>
      <c r="P1" s="23" t="s">
        <v>487</v>
      </c>
      <c r="Q1" s="23" t="s">
        <v>488</v>
      </c>
      <c r="R1" s="22" t="s">
        <v>489</v>
      </c>
      <c r="S1" s="22" t="s">
        <v>490</v>
      </c>
      <c r="T1" s="22" t="s">
        <v>491</v>
      </c>
      <c r="U1" s="22" t="s">
        <v>492</v>
      </c>
    </row>
    <row r="2" spans="1:21" ht="20.100000000000001" customHeight="1" x14ac:dyDescent="0.25">
      <c r="A2" s="367"/>
      <c r="B2" s="343"/>
      <c r="C2" s="369"/>
      <c r="D2" s="369"/>
      <c r="E2" s="369"/>
      <c r="F2" s="369"/>
      <c r="G2" s="369"/>
      <c r="H2" s="20"/>
      <c r="I2" s="21"/>
      <c r="J2" s="22" t="s">
        <v>493</v>
      </c>
      <c r="K2" s="22">
        <v>3</v>
      </c>
      <c r="L2" s="22">
        <v>2</v>
      </c>
      <c r="M2" s="24">
        <v>0.1</v>
      </c>
      <c r="N2" s="23">
        <v>0.36</v>
      </c>
      <c r="O2" s="24">
        <v>2E-3</v>
      </c>
      <c r="P2" s="23">
        <v>2.74</v>
      </c>
      <c r="Q2" s="23">
        <v>1000</v>
      </c>
      <c r="R2" s="22">
        <v>3000</v>
      </c>
      <c r="S2" s="24">
        <v>0.01</v>
      </c>
      <c r="T2" s="22">
        <v>10</v>
      </c>
      <c r="U2" s="23">
        <v>10</v>
      </c>
    </row>
    <row r="3" spans="1:21" ht="20.100000000000001" customHeight="1" x14ac:dyDescent="0.25">
      <c r="A3" s="367"/>
      <c r="B3" s="343"/>
      <c r="C3" s="296" t="s">
        <v>869</v>
      </c>
      <c r="D3" s="22"/>
      <c r="E3" s="25"/>
      <c r="F3" s="26"/>
      <c r="G3" s="26"/>
      <c r="H3" s="26"/>
      <c r="I3" s="26"/>
      <c r="J3" s="27" t="s">
        <v>194</v>
      </c>
      <c r="K3" s="27">
        <v>5</v>
      </c>
      <c r="L3" s="27">
        <v>3</v>
      </c>
      <c r="M3" s="28">
        <v>0.1</v>
      </c>
      <c r="N3" s="29">
        <v>0.36</v>
      </c>
      <c r="O3" s="28">
        <v>2E-3</v>
      </c>
      <c r="P3" s="29">
        <v>2.74</v>
      </c>
      <c r="Q3" s="29">
        <v>1000</v>
      </c>
      <c r="R3" s="27">
        <v>3000</v>
      </c>
      <c r="S3" s="28">
        <v>0.01</v>
      </c>
      <c r="T3" s="27">
        <v>10</v>
      </c>
      <c r="U3" s="29">
        <v>9.11</v>
      </c>
    </row>
    <row r="4" spans="1:21" ht="20.100000000000001" customHeight="1" x14ac:dyDescent="0.25">
      <c r="A4" s="367"/>
      <c r="B4" s="343"/>
      <c r="C4" s="30" t="s">
        <v>25</v>
      </c>
      <c r="D4" s="30" t="s">
        <v>110</v>
      </c>
      <c r="E4" s="31" t="s">
        <v>494</v>
      </c>
      <c r="F4" s="32" t="s">
        <v>426</v>
      </c>
      <c r="G4" s="33" t="s">
        <v>495</v>
      </c>
      <c r="H4" s="32" t="s">
        <v>496</v>
      </c>
      <c r="I4" s="32" t="s">
        <v>148</v>
      </c>
      <c r="J4" s="30" t="s">
        <v>497</v>
      </c>
      <c r="K4" s="30" t="s">
        <v>498</v>
      </c>
      <c r="L4" s="30" t="s">
        <v>499</v>
      </c>
      <c r="M4" s="30" t="s">
        <v>196</v>
      </c>
      <c r="N4" s="34" t="s">
        <v>197</v>
      </c>
      <c r="O4" s="34" t="s">
        <v>198</v>
      </c>
      <c r="P4" s="34" t="s">
        <v>500</v>
      </c>
      <c r="Q4" s="34" t="s">
        <v>199</v>
      </c>
      <c r="R4" s="30" t="s">
        <v>200</v>
      </c>
      <c r="S4" s="30" t="s">
        <v>201</v>
      </c>
      <c r="T4" s="30" t="s">
        <v>202</v>
      </c>
      <c r="U4" s="30" t="s">
        <v>203</v>
      </c>
    </row>
    <row r="5" spans="1:21" ht="20.100000000000001" customHeight="1" x14ac:dyDescent="0.25">
      <c r="A5" s="367"/>
      <c r="B5" s="343"/>
      <c r="C5" s="30"/>
      <c r="D5" s="30" t="s">
        <v>204</v>
      </c>
      <c r="E5" s="31" t="s">
        <v>205</v>
      </c>
      <c r="F5" s="30" t="s">
        <v>205</v>
      </c>
      <c r="G5" s="31" t="s">
        <v>206</v>
      </c>
      <c r="H5" s="30" t="s">
        <v>206</v>
      </c>
      <c r="I5" s="30" t="s">
        <v>501</v>
      </c>
      <c r="J5" s="30" t="s">
        <v>208</v>
      </c>
      <c r="K5" s="30" t="s">
        <v>208</v>
      </c>
      <c r="L5" s="30" t="s">
        <v>208</v>
      </c>
      <c r="M5" s="30" t="s">
        <v>208</v>
      </c>
      <c r="N5" s="30" t="s">
        <v>208</v>
      </c>
      <c r="O5" s="30" t="s">
        <v>208</v>
      </c>
      <c r="P5" s="34" t="s">
        <v>208</v>
      </c>
      <c r="Q5" s="30" t="s">
        <v>208</v>
      </c>
      <c r="R5" s="30" t="s">
        <v>208</v>
      </c>
      <c r="S5" s="30" t="s">
        <v>208</v>
      </c>
      <c r="T5" s="30" t="s">
        <v>208</v>
      </c>
      <c r="U5" s="30" t="s">
        <v>208</v>
      </c>
    </row>
    <row r="6" spans="1:21" ht="20.100000000000001" customHeight="1" x14ac:dyDescent="0.25">
      <c r="A6" s="35">
        <v>1</v>
      </c>
      <c r="B6" s="36">
        <v>1</v>
      </c>
      <c r="C6" s="37" t="s">
        <v>502</v>
      </c>
      <c r="D6" s="36">
        <v>27</v>
      </c>
      <c r="E6" s="38">
        <v>13445</v>
      </c>
      <c r="F6" s="36">
        <v>13500</v>
      </c>
      <c r="G6" s="38">
        <v>10</v>
      </c>
      <c r="H6" s="36">
        <v>10</v>
      </c>
      <c r="I6" s="36">
        <v>500</v>
      </c>
      <c r="J6" s="39">
        <f>(F6*0.9)/(H6*I6)</f>
        <v>2.4300000000000002</v>
      </c>
      <c r="K6" s="39">
        <f>((F6*1.1)/(2*I6))*($K$2/100)</f>
        <v>0.44550000000000001</v>
      </c>
      <c r="L6" s="39">
        <f>((F6*1.1)/(2*I6)*($L$2/100))</f>
        <v>0.29700000000000004</v>
      </c>
      <c r="M6" s="40">
        <f>+J6+K6+L6</f>
        <v>3.1725000000000003</v>
      </c>
      <c r="N6" s="40">
        <f>+D6*$M$2*$N$2</f>
        <v>0.97199999999999998</v>
      </c>
      <c r="O6" s="40">
        <f>+D6*$O$2*$P$2</f>
        <v>0.14796000000000001</v>
      </c>
      <c r="P6" s="40">
        <f>+$Q$2/$R$2</f>
        <v>0.33333333333333331</v>
      </c>
      <c r="Q6" s="40">
        <f>+F6*($S$2/100)</f>
        <v>1.35</v>
      </c>
      <c r="R6" s="39">
        <f>+Q6*$T$2/100</f>
        <v>0.13500000000000001</v>
      </c>
      <c r="S6" s="36">
        <f>+$U$2</f>
        <v>10</v>
      </c>
      <c r="T6" s="40">
        <f>+N6+O6+P6+Q6+R6+S6</f>
        <v>12.938293333333334</v>
      </c>
      <c r="U6" s="40">
        <f>+M6+T6</f>
        <v>16.110793333333334</v>
      </c>
    </row>
    <row r="7" spans="1:21" ht="20.100000000000001" customHeight="1" x14ac:dyDescent="0.25">
      <c r="A7" s="35">
        <f>+A6+1</f>
        <v>2</v>
      </c>
      <c r="B7" s="36">
        <v>1</v>
      </c>
      <c r="C7" s="37" t="s">
        <v>502</v>
      </c>
      <c r="D7" s="36">
        <v>35</v>
      </c>
      <c r="E7" s="38">
        <v>16737</v>
      </c>
      <c r="F7" s="41">
        <v>16737</v>
      </c>
      <c r="G7" s="38">
        <v>10</v>
      </c>
      <c r="H7" s="36">
        <v>10</v>
      </c>
      <c r="I7" s="36">
        <v>500</v>
      </c>
      <c r="J7" s="39">
        <f t="shared" ref="J7:J45" si="0">(F7*0.9)/(H7*I7)</f>
        <v>3.0126600000000003</v>
      </c>
      <c r="K7" s="39">
        <f t="shared" ref="K7:K45" si="1">((F7*1.1)/(2*I7))*($K$2/100)</f>
        <v>0.55232100000000006</v>
      </c>
      <c r="L7" s="39">
        <f t="shared" ref="L7:L45" si="2">((F7*1.1)/(2*I7)*($L$2/100))</f>
        <v>0.36821400000000004</v>
      </c>
      <c r="M7" s="40">
        <f t="shared" ref="M7:M45" si="3">+J7+K7+L7</f>
        <v>3.9331950000000004</v>
      </c>
      <c r="N7" s="40">
        <f t="shared" ref="N7:N45" si="4">+D7*$M$2*$N$2</f>
        <v>1.26</v>
      </c>
      <c r="O7" s="40">
        <f t="shared" ref="O7:O45" si="5">+D7*$O$2*$P$2</f>
        <v>0.19180000000000003</v>
      </c>
      <c r="P7" s="40">
        <f t="shared" ref="P7:P45" si="6">+$Q$2/$R$2</f>
        <v>0.33333333333333331</v>
      </c>
      <c r="Q7" s="40">
        <f t="shared" ref="Q7:Q45" si="7">+F7*($S$2/100)</f>
        <v>1.6737000000000002</v>
      </c>
      <c r="R7" s="39">
        <f t="shared" ref="R7:R45" si="8">+Q7*$T$2/100</f>
        <v>0.16737000000000002</v>
      </c>
      <c r="S7" s="36">
        <f t="shared" ref="S7:S45" si="9">+$U$2</f>
        <v>10</v>
      </c>
      <c r="T7" s="40">
        <f t="shared" ref="T7:T45" si="10">+N7+O7+P7+Q7+R7+S7</f>
        <v>13.626203333333333</v>
      </c>
      <c r="U7" s="40">
        <f t="shared" ref="U7:U45" si="11">+M7+T7</f>
        <v>17.559398333333334</v>
      </c>
    </row>
    <row r="8" spans="1:21" ht="20.100000000000001" customHeight="1" x14ac:dyDescent="0.25">
      <c r="A8" s="35">
        <f t="shared" ref="A8:A45" si="12">+A7+1</f>
        <v>3</v>
      </c>
      <c r="B8" s="36">
        <v>1</v>
      </c>
      <c r="C8" s="37" t="s">
        <v>502</v>
      </c>
      <c r="D8" s="36">
        <v>45</v>
      </c>
      <c r="E8" s="38">
        <v>20804</v>
      </c>
      <c r="F8" s="41">
        <v>20900</v>
      </c>
      <c r="G8" s="38">
        <v>10</v>
      </c>
      <c r="H8" s="36">
        <v>10</v>
      </c>
      <c r="I8" s="36">
        <v>500</v>
      </c>
      <c r="J8" s="39">
        <f t="shared" si="0"/>
        <v>3.762</v>
      </c>
      <c r="K8" s="39">
        <f t="shared" si="1"/>
        <v>0.68969999999999998</v>
      </c>
      <c r="L8" s="39">
        <f t="shared" si="2"/>
        <v>0.45980000000000004</v>
      </c>
      <c r="M8" s="40">
        <f t="shared" si="3"/>
        <v>4.9115000000000002</v>
      </c>
      <c r="N8" s="40">
        <f t="shared" si="4"/>
        <v>1.6199999999999999</v>
      </c>
      <c r="O8" s="40">
        <f t="shared" si="5"/>
        <v>0.24660000000000001</v>
      </c>
      <c r="P8" s="40">
        <f t="shared" si="6"/>
        <v>0.33333333333333331</v>
      </c>
      <c r="Q8" s="40">
        <f t="shared" si="7"/>
        <v>2.0900000000000003</v>
      </c>
      <c r="R8" s="39">
        <f t="shared" si="8"/>
        <v>0.20900000000000002</v>
      </c>
      <c r="S8" s="36">
        <f t="shared" si="9"/>
        <v>10</v>
      </c>
      <c r="T8" s="40">
        <f t="shared" si="10"/>
        <v>14.498933333333333</v>
      </c>
      <c r="U8" s="40">
        <f t="shared" si="11"/>
        <v>19.410433333333334</v>
      </c>
    </row>
    <row r="9" spans="1:21" ht="20.100000000000001" customHeight="1" x14ac:dyDescent="0.25">
      <c r="A9" s="35">
        <f t="shared" si="12"/>
        <v>4</v>
      </c>
      <c r="B9" s="36">
        <v>1</v>
      </c>
      <c r="C9" s="37" t="s">
        <v>502</v>
      </c>
      <c r="D9" s="36">
        <v>53</v>
      </c>
      <c r="E9" s="38">
        <v>24096</v>
      </c>
      <c r="F9" s="41">
        <v>24100</v>
      </c>
      <c r="G9" s="38">
        <v>10</v>
      </c>
      <c r="H9" s="36">
        <v>10</v>
      </c>
      <c r="I9" s="36">
        <v>500</v>
      </c>
      <c r="J9" s="39">
        <f t="shared" si="0"/>
        <v>4.3380000000000001</v>
      </c>
      <c r="K9" s="39">
        <f t="shared" si="1"/>
        <v>0.79530000000000012</v>
      </c>
      <c r="L9" s="39">
        <f t="shared" si="2"/>
        <v>0.53020000000000012</v>
      </c>
      <c r="M9" s="40">
        <f t="shared" si="3"/>
        <v>5.6635</v>
      </c>
      <c r="N9" s="40">
        <f t="shared" si="4"/>
        <v>1.9080000000000001</v>
      </c>
      <c r="O9" s="40">
        <f t="shared" si="5"/>
        <v>0.29044000000000003</v>
      </c>
      <c r="P9" s="40">
        <f t="shared" si="6"/>
        <v>0.33333333333333331</v>
      </c>
      <c r="Q9" s="40">
        <f t="shared" si="7"/>
        <v>2.41</v>
      </c>
      <c r="R9" s="39">
        <f t="shared" si="8"/>
        <v>0.24100000000000002</v>
      </c>
      <c r="S9" s="36">
        <f t="shared" si="9"/>
        <v>10</v>
      </c>
      <c r="T9" s="40">
        <f t="shared" si="10"/>
        <v>15.182773333333333</v>
      </c>
      <c r="U9" s="40">
        <f t="shared" si="11"/>
        <v>20.846273333333333</v>
      </c>
    </row>
    <row r="10" spans="1:21" ht="20.100000000000001" customHeight="1" x14ac:dyDescent="0.25">
      <c r="A10" s="35">
        <f t="shared" si="12"/>
        <v>5</v>
      </c>
      <c r="B10" s="36">
        <v>1</v>
      </c>
      <c r="C10" s="37" t="s">
        <v>502</v>
      </c>
      <c r="D10" s="36">
        <v>60</v>
      </c>
      <c r="E10" s="38">
        <v>26952</v>
      </c>
      <c r="F10" s="41">
        <v>26952</v>
      </c>
      <c r="G10" s="38">
        <v>10</v>
      </c>
      <c r="H10" s="36">
        <v>10</v>
      </c>
      <c r="I10" s="36">
        <v>500</v>
      </c>
      <c r="J10" s="39">
        <f t="shared" si="0"/>
        <v>4.8513599999999997</v>
      </c>
      <c r="K10" s="39">
        <f t="shared" si="1"/>
        <v>0.88941599999999998</v>
      </c>
      <c r="L10" s="39">
        <f t="shared" si="2"/>
        <v>0.59294400000000003</v>
      </c>
      <c r="M10" s="40">
        <f t="shared" si="3"/>
        <v>6.3337199999999996</v>
      </c>
      <c r="N10" s="40">
        <f t="shared" si="4"/>
        <v>2.16</v>
      </c>
      <c r="O10" s="40">
        <f t="shared" si="5"/>
        <v>0.32880000000000004</v>
      </c>
      <c r="P10" s="40">
        <f t="shared" si="6"/>
        <v>0.33333333333333331</v>
      </c>
      <c r="Q10" s="40">
        <f t="shared" si="7"/>
        <v>2.6952000000000003</v>
      </c>
      <c r="R10" s="39">
        <f t="shared" si="8"/>
        <v>0.26952000000000004</v>
      </c>
      <c r="S10" s="36">
        <f t="shared" si="9"/>
        <v>10</v>
      </c>
      <c r="T10" s="40">
        <f t="shared" si="10"/>
        <v>15.786853333333333</v>
      </c>
      <c r="U10" s="40">
        <f t="shared" si="11"/>
        <v>22.120573333333333</v>
      </c>
    </row>
    <row r="11" spans="1:21" ht="20.100000000000001" customHeight="1" x14ac:dyDescent="0.25">
      <c r="A11" s="35">
        <f t="shared" si="12"/>
        <v>6</v>
      </c>
      <c r="B11" s="36">
        <v>1</v>
      </c>
      <c r="C11" s="37" t="s">
        <v>502</v>
      </c>
      <c r="D11" s="36">
        <v>70</v>
      </c>
      <c r="E11" s="38">
        <v>31051</v>
      </c>
      <c r="F11" s="41">
        <v>31051</v>
      </c>
      <c r="G11" s="38">
        <v>10</v>
      </c>
      <c r="H11" s="36">
        <v>10</v>
      </c>
      <c r="I11" s="36">
        <v>500</v>
      </c>
      <c r="J11" s="39">
        <f t="shared" si="0"/>
        <v>5.5891800000000007</v>
      </c>
      <c r="K11" s="39">
        <f t="shared" si="1"/>
        <v>1.0246830000000002</v>
      </c>
      <c r="L11" s="39">
        <f t="shared" si="2"/>
        <v>0.68312200000000023</v>
      </c>
      <c r="M11" s="40">
        <f t="shared" si="3"/>
        <v>7.2969850000000012</v>
      </c>
      <c r="N11" s="40">
        <f t="shared" si="4"/>
        <v>2.52</v>
      </c>
      <c r="O11" s="40">
        <f t="shared" si="5"/>
        <v>0.38360000000000005</v>
      </c>
      <c r="P11" s="40">
        <f t="shared" si="6"/>
        <v>0.33333333333333331</v>
      </c>
      <c r="Q11" s="40">
        <f t="shared" si="7"/>
        <v>3.1051000000000002</v>
      </c>
      <c r="R11" s="39">
        <f t="shared" si="8"/>
        <v>0.31051000000000001</v>
      </c>
      <c r="S11" s="36">
        <f t="shared" si="9"/>
        <v>10</v>
      </c>
      <c r="T11" s="40">
        <f t="shared" si="10"/>
        <v>16.652543333333334</v>
      </c>
      <c r="U11" s="40">
        <f t="shared" si="11"/>
        <v>23.949528333333333</v>
      </c>
    </row>
    <row r="12" spans="1:21" ht="20.100000000000001" customHeight="1" x14ac:dyDescent="0.25">
      <c r="A12" s="35">
        <f t="shared" si="12"/>
        <v>7</v>
      </c>
      <c r="B12" s="36">
        <v>1</v>
      </c>
      <c r="C12" s="37" t="s">
        <v>502</v>
      </c>
      <c r="D12" s="36">
        <v>80</v>
      </c>
      <c r="E12" s="38">
        <v>35088</v>
      </c>
      <c r="F12" s="41">
        <v>35088</v>
      </c>
      <c r="G12" s="38">
        <v>10</v>
      </c>
      <c r="H12" s="36">
        <v>10</v>
      </c>
      <c r="I12" s="36">
        <v>500</v>
      </c>
      <c r="J12" s="39">
        <f t="shared" si="0"/>
        <v>6.3158400000000006</v>
      </c>
      <c r="K12" s="39">
        <f t="shared" si="1"/>
        <v>1.157904</v>
      </c>
      <c r="L12" s="39">
        <f t="shared" si="2"/>
        <v>0.77193600000000007</v>
      </c>
      <c r="M12" s="40">
        <f t="shared" si="3"/>
        <v>8.2456800000000001</v>
      </c>
      <c r="N12" s="40">
        <f t="shared" si="4"/>
        <v>2.88</v>
      </c>
      <c r="O12" s="40">
        <f t="shared" si="5"/>
        <v>0.43840000000000007</v>
      </c>
      <c r="P12" s="40">
        <f t="shared" si="6"/>
        <v>0.33333333333333331</v>
      </c>
      <c r="Q12" s="40">
        <f t="shared" si="7"/>
        <v>3.5088000000000004</v>
      </c>
      <c r="R12" s="39">
        <f t="shared" si="8"/>
        <v>0.35088000000000003</v>
      </c>
      <c r="S12" s="36">
        <f t="shared" si="9"/>
        <v>10</v>
      </c>
      <c r="T12" s="40">
        <f t="shared" si="10"/>
        <v>17.511413333333333</v>
      </c>
      <c r="U12" s="40">
        <f t="shared" si="11"/>
        <v>25.757093333333334</v>
      </c>
    </row>
    <row r="13" spans="1:21" ht="20.100000000000001" customHeight="1" x14ac:dyDescent="0.25">
      <c r="A13" s="35">
        <f t="shared" si="12"/>
        <v>8</v>
      </c>
      <c r="B13" s="36">
        <v>1</v>
      </c>
      <c r="C13" s="37" t="s">
        <v>502</v>
      </c>
      <c r="D13" s="36">
        <v>90</v>
      </c>
      <c r="E13" s="38">
        <v>29124</v>
      </c>
      <c r="F13" s="41">
        <v>29124</v>
      </c>
      <c r="G13" s="38">
        <v>10</v>
      </c>
      <c r="H13" s="36">
        <v>10</v>
      </c>
      <c r="I13" s="36">
        <v>500</v>
      </c>
      <c r="J13" s="39">
        <f t="shared" si="0"/>
        <v>5.2423200000000003</v>
      </c>
      <c r="K13" s="39">
        <f t="shared" si="1"/>
        <v>0.96109199999999995</v>
      </c>
      <c r="L13" s="39">
        <f t="shared" si="2"/>
        <v>0.64072800000000008</v>
      </c>
      <c r="M13" s="40">
        <f t="shared" si="3"/>
        <v>6.8441400000000003</v>
      </c>
      <c r="N13" s="40">
        <f t="shared" si="4"/>
        <v>3.2399999999999998</v>
      </c>
      <c r="O13" s="40">
        <f t="shared" si="5"/>
        <v>0.49320000000000003</v>
      </c>
      <c r="P13" s="40">
        <f t="shared" si="6"/>
        <v>0.33333333333333331</v>
      </c>
      <c r="Q13" s="40">
        <f t="shared" si="7"/>
        <v>2.9124000000000003</v>
      </c>
      <c r="R13" s="39">
        <f t="shared" si="8"/>
        <v>0.29124</v>
      </c>
      <c r="S13" s="36">
        <f t="shared" si="9"/>
        <v>10</v>
      </c>
      <c r="T13" s="40">
        <f t="shared" si="10"/>
        <v>17.270173333333332</v>
      </c>
      <c r="U13" s="40">
        <f t="shared" si="11"/>
        <v>24.114313333333332</v>
      </c>
    </row>
    <row r="14" spans="1:21" ht="20.100000000000001" customHeight="1" x14ac:dyDescent="0.25">
      <c r="A14" s="35">
        <f t="shared" si="12"/>
        <v>9</v>
      </c>
      <c r="B14" s="36">
        <v>1</v>
      </c>
      <c r="C14" s="37" t="s">
        <v>502</v>
      </c>
      <c r="D14" s="36">
        <v>105</v>
      </c>
      <c r="E14" s="38">
        <v>45335</v>
      </c>
      <c r="F14" s="41">
        <v>45335</v>
      </c>
      <c r="G14" s="38">
        <v>10</v>
      </c>
      <c r="H14" s="36">
        <v>10</v>
      </c>
      <c r="I14" s="36">
        <v>500</v>
      </c>
      <c r="J14" s="39">
        <f t="shared" si="0"/>
        <v>8.1602999999999994</v>
      </c>
      <c r="K14" s="39">
        <f t="shared" si="1"/>
        <v>1.4960550000000001</v>
      </c>
      <c r="L14" s="39">
        <f t="shared" si="2"/>
        <v>0.99737000000000009</v>
      </c>
      <c r="M14" s="40">
        <f t="shared" si="3"/>
        <v>10.653725</v>
      </c>
      <c r="N14" s="40">
        <f t="shared" si="4"/>
        <v>3.78</v>
      </c>
      <c r="O14" s="40">
        <f t="shared" si="5"/>
        <v>0.57540000000000002</v>
      </c>
      <c r="P14" s="40">
        <f t="shared" si="6"/>
        <v>0.33333333333333331</v>
      </c>
      <c r="Q14" s="40">
        <f t="shared" si="7"/>
        <v>4.5335000000000001</v>
      </c>
      <c r="R14" s="39">
        <f t="shared" si="8"/>
        <v>0.45335000000000003</v>
      </c>
      <c r="S14" s="36">
        <f t="shared" si="9"/>
        <v>10</v>
      </c>
      <c r="T14" s="40">
        <f t="shared" si="10"/>
        <v>19.675583333333332</v>
      </c>
      <c r="U14" s="40">
        <f t="shared" si="11"/>
        <v>30.32930833333333</v>
      </c>
    </row>
    <row r="15" spans="1:21" ht="20.100000000000001" customHeight="1" x14ac:dyDescent="0.25">
      <c r="A15" s="35">
        <f t="shared" si="12"/>
        <v>10</v>
      </c>
      <c r="B15" s="36">
        <v>1</v>
      </c>
      <c r="C15" s="37" t="s">
        <v>502</v>
      </c>
      <c r="D15" s="36">
        <v>120</v>
      </c>
      <c r="E15" s="38">
        <v>51545</v>
      </c>
      <c r="F15" s="41">
        <v>51545</v>
      </c>
      <c r="G15" s="38">
        <v>10</v>
      </c>
      <c r="H15" s="36">
        <v>10</v>
      </c>
      <c r="I15" s="36">
        <v>500</v>
      </c>
      <c r="J15" s="39">
        <f t="shared" si="0"/>
        <v>9.2781000000000002</v>
      </c>
      <c r="K15" s="39">
        <f t="shared" si="1"/>
        <v>1.7009850000000002</v>
      </c>
      <c r="L15" s="39">
        <f t="shared" si="2"/>
        <v>1.1339900000000003</v>
      </c>
      <c r="M15" s="40">
        <f t="shared" si="3"/>
        <v>12.113075000000002</v>
      </c>
      <c r="N15" s="40">
        <f t="shared" si="4"/>
        <v>4.32</v>
      </c>
      <c r="O15" s="40">
        <f t="shared" si="5"/>
        <v>0.65760000000000007</v>
      </c>
      <c r="P15" s="40">
        <f t="shared" si="6"/>
        <v>0.33333333333333331</v>
      </c>
      <c r="Q15" s="40">
        <f t="shared" si="7"/>
        <v>5.1545000000000005</v>
      </c>
      <c r="R15" s="39">
        <f t="shared" si="8"/>
        <v>0.51544999999999996</v>
      </c>
      <c r="S15" s="36">
        <f t="shared" si="9"/>
        <v>10</v>
      </c>
      <c r="T15" s="40">
        <f t="shared" si="10"/>
        <v>20.980883333333331</v>
      </c>
      <c r="U15" s="40">
        <f t="shared" si="11"/>
        <v>33.093958333333333</v>
      </c>
    </row>
    <row r="16" spans="1:21" ht="20.100000000000001" customHeight="1" x14ac:dyDescent="0.25">
      <c r="A16" s="35">
        <f t="shared" si="12"/>
        <v>11</v>
      </c>
      <c r="B16" s="36">
        <v>1</v>
      </c>
      <c r="C16" s="37" t="s">
        <v>502</v>
      </c>
      <c r="D16" s="36">
        <v>140</v>
      </c>
      <c r="E16" s="38">
        <v>59618</v>
      </c>
      <c r="F16" s="41">
        <v>59618</v>
      </c>
      <c r="G16" s="38">
        <v>10</v>
      </c>
      <c r="H16" s="36">
        <v>10</v>
      </c>
      <c r="I16" s="36">
        <v>500</v>
      </c>
      <c r="J16" s="39">
        <f t="shared" si="0"/>
        <v>10.731240000000001</v>
      </c>
      <c r="K16" s="39">
        <f t="shared" si="1"/>
        <v>1.9673940000000001</v>
      </c>
      <c r="L16" s="39">
        <f t="shared" si="2"/>
        <v>1.3115960000000002</v>
      </c>
      <c r="M16" s="40">
        <f t="shared" si="3"/>
        <v>14.010230000000002</v>
      </c>
      <c r="N16" s="40">
        <f t="shared" si="4"/>
        <v>5.04</v>
      </c>
      <c r="O16" s="40">
        <f t="shared" si="5"/>
        <v>0.7672000000000001</v>
      </c>
      <c r="P16" s="40">
        <f t="shared" si="6"/>
        <v>0.33333333333333331</v>
      </c>
      <c r="Q16" s="40">
        <f t="shared" si="7"/>
        <v>5.9618000000000002</v>
      </c>
      <c r="R16" s="39">
        <f t="shared" si="8"/>
        <v>0.59618000000000004</v>
      </c>
      <c r="S16" s="36">
        <f t="shared" si="9"/>
        <v>10</v>
      </c>
      <c r="T16" s="40">
        <f t="shared" si="10"/>
        <v>22.698513333333334</v>
      </c>
      <c r="U16" s="40">
        <f t="shared" si="11"/>
        <v>36.708743333333338</v>
      </c>
    </row>
    <row r="17" spans="1:21" ht="20.100000000000001" customHeight="1" x14ac:dyDescent="0.25">
      <c r="A17" s="35">
        <f t="shared" si="12"/>
        <v>12</v>
      </c>
      <c r="B17" s="36">
        <v>1</v>
      </c>
      <c r="C17" s="37" t="s">
        <v>502</v>
      </c>
      <c r="D17" s="36">
        <v>160</v>
      </c>
      <c r="E17" s="38">
        <v>68002</v>
      </c>
      <c r="F17" s="41">
        <v>68002</v>
      </c>
      <c r="G17" s="38">
        <v>10</v>
      </c>
      <c r="H17" s="36">
        <v>10</v>
      </c>
      <c r="I17" s="36">
        <v>500</v>
      </c>
      <c r="J17" s="39">
        <f t="shared" si="0"/>
        <v>12.240360000000001</v>
      </c>
      <c r="K17" s="39">
        <f t="shared" si="1"/>
        <v>2.2440660000000001</v>
      </c>
      <c r="L17" s="39">
        <f t="shared" si="2"/>
        <v>1.4960440000000004</v>
      </c>
      <c r="M17" s="40">
        <f t="shared" si="3"/>
        <v>15.98047</v>
      </c>
      <c r="N17" s="40">
        <f t="shared" si="4"/>
        <v>5.76</v>
      </c>
      <c r="O17" s="40">
        <f t="shared" si="5"/>
        <v>0.87680000000000013</v>
      </c>
      <c r="P17" s="40">
        <f t="shared" si="6"/>
        <v>0.33333333333333331</v>
      </c>
      <c r="Q17" s="40">
        <f t="shared" si="7"/>
        <v>6.8002000000000002</v>
      </c>
      <c r="R17" s="39">
        <f t="shared" si="8"/>
        <v>0.68002000000000007</v>
      </c>
      <c r="S17" s="36">
        <f t="shared" si="9"/>
        <v>10</v>
      </c>
      <c r="T17" s="40">
        <f t="shared" si="10"/>
        <v>24.450353333333332</v>
      </c>
      <c r="U17" s="40">
        <f t="shared" si="11"/>
        <v>40.430823333333336</v>
      </c>
    </row>
    <row r="18" spans="1:21" ht="20.100000000000001" customHeight="1" x14ac:dyDescent="0.25">
      <c r="A18" s="35">
        <f t="shared" si="12"/>
        <v>13</v>
      </c>
      <c r="B18" s="36">
        <v>2</v>
      </c>
      <c r="C18" s="37" t="s">
        <v>503</v>
      </c>
      <c r="D18" s="36">
        <v>18</v>
      </c>
      <c r="E18" s="38">
        <v>11471</v>
      </c>
      <c r="F18" s="41">
        <v>11471</v>
      </c>
      <c r="G18" s="38">
        <v>10</v>
      </c>
      <c r="H18" s="36">
        <v>10</v>
      </c>
      <c r="I18" s="36">
        <v>500</v>
      </c>
      <c r="J18" s="39">
        <f t="shared" si="0"/>
        <v>2.0647799999999998</v>
      </c>
      <c r="K18" s="39">
        <f t="shared" si="1"/>
        <v>0.37854299999999996</v>
      </c>
      <c r="L18" s="39">
        <f t="shared" si="2"/>
        <v>0.25236200000000003</v>
      </c>
      <c r="M18" s="40">
        <f t="shared" si="3"/>
        <v>2.6956850000000001</v>
      </c>
      <c r="N18" s="40">
        <f t="shared" si="4"/>
        <v>0.64800000000000002</v>
      </c>
      <c r="O18" s="40">
        <f t="shared" si="5"/>
        <v>9.8640000000000019E-2</v>
      </c>
      <c r="P18" s="40">
        <f t="shared" si="6"/>
        <v>0.33333333333333331</v>
      </c>
      <c r="Q18" s="40">
        <f t="shared" si="7"/>
        <v>1.1471</v>
      </c>
      <c r="R18" s="39">
        <f t="shared" si="8"/>
        <v>0.11471000000000001</v>
      </c>
      <c r="S18" s="36">
        <f t="shared" si="9"/>
        <v>10</v>
      </c>
      <c r="T18" s="40">
        <f t="shared" si="10"/>
        <v>12.341783333333334</v>
      </c>
      <c r="U18" s="40">
        <f t="shared" si="11"/>
        <v>15.037468333333333</v>
      </c>
    </row>
    <row r="19" spans="1:21" ht="20.100000000000001" customHeight="1" x14ac:dyDescent="0.25">
      <c r="A19" s="35">
        <f t="shared" si="12"/>
        <v>14</v>
      </c>
      <c r="B19" s="36">
        <v>2</v>
      </c>
      <c r="C19" s="37" t="s">
        <v>503</v>
      </c>
      <c r="D19" s="36">
        <v>27</v>
      </c>
      <c r="E19" s="38">
        <v>15818</v>
      </c>
      <c r="F19" s="41">
        <v>15818</v>
      </c>
      <c r="G19" s="38">
        <v>10</v>
      </c>
      <c r="H19" s="36">
        <v>10</v>
      </c>
      <c r="I19" s="36">
        <v>500</v>
      </c>
      <c r="J19" s="39">
        <f t="shared" si="0"/>
        <v>2.8472400000000002</v>
      </c>
      <c r="K19" s="39">
        <f t="shared" si="1"/>
        <v>0.52199400000000007</v>
      </c>
      <c r="L19" s="39">
        <f t="shared" si="2"/>
        <v>0.34799600000000008</v>
      </c>
      <c r="M19" s="40">
        <f t="shared" si="3"/>
        <v>3.7172300000000007</v>
      </c>
      <c r="N19" s="40">
        <f t="shared" si="4"/>
        <v>0.97199999999999998</v>
      </c>
      <c r="O19" s="40">
        <f t="shared" si="5"/>
        <v>0.14796000000000001</v>
      </c>
      <c r="P19" s="40">
        <f t="shared" si="6"/>
        <v>0.33333333333333331</v>
      </c>
      <c r="Q19" s="40">
        <f t="shared" si="7"/>
        <v>1.5818000000000001</v>
      </c>
      <c r="R19" s="39">
        <f t="shared" si="8"/>
        <v>0.15818000000000002</v>
      </c>
      <c r="S19" s="36">
        <f t="shared" si="9"/>
        <v>10</v>
      </c>
      <c r="T19" s="40">
        <f t="shared" si="10"/>
        <v>13.193273333333334</v>
      </c>
      <c r="U19" s="40">
        <f t="shared" si="11"/>
        <v>16.910503333333335</v>
      </c>
    </row>
    <row r="20" spans="1:21" ht="20.100000000000001" customHeight="1" x14ac:dyDescent="0.25">
      <c r="A20" s="35">
        <f t="shared" si="12"/>
        <v>15</v>
      </c>
      <c r="B20" s="36">
        <v>2</v>
      </c>
      <c r="C20" s="37" t="s">
        <v>503</v>
      </c>
      <c r="D20" s="36">
        <v>35</v>
      </c>
      <c r="E20" s="38">
        <v>19690</v>
      </c>
      <c r="F20" s="41">
        <v>19690</v>
      </c>
      <c r="G20" s="38">
        <v>10</v>
      </c>
      <c r="H20" s="36">
        <v>10</v>
      </c>
      <c r="I20" s="36">
        <v>500</v>
      </c>
      <c r="J20" s="39">
        <f t="shared" si="0"/>
        <v>3.5442</v>
      </c>
      <c r="K20" s="39">
        <f t="shared" si="1"/>
        <v>0.64976999999999996</v>
      </c>
      <c r="L20" s="39">
        <f t="shared" si="2"/>
        <v>0.43318000000000001</v>
      </c>
      <c r="M20" s="40">
        <f t="shared" si="3"/>
        <v>4.6271500000000003</v>
      </c>
      <c r="N20" s="40">
        <f t="shared" si="4"/>
        <v>1.26</v>
      </c>
      <c r="O20" s="40">
        <f t="shared" si="5"/>
        <v>0.19180000000000003</v>
      </c>
      <c r="P20" s="40">
        <f t="shared" si="6"/>
        <v>0.33333333333333331</v>
      </c>
      <c r="Q20" s="40">
        <f t="shared" si="7"/>
        <v>1.9690000000000001</v>
      </c>
      <c r="R20" s="39">
        <f t="shared" si="8"/>
        <v>0.19690000000000002</v>
      </c>
      <c r="S20" s="36">
        <f t="shared" si="9"/>
        <v>10</v>
      </c>
      <c r="T20" s="40">
        <f t="shared" si="10"/>
        <v>13.951033333333333</v>
      </c>
      <c r="U20" s="40">
        <f t="shared" si="11"/>
        <v>18.578183333333335</v>
      </c>
    </row>
    <row r="21" spans="1:21" ht="20.100000000000001" customHeight="1" x14ac:dyDescent="0.25">
      <c r="A21" s="35">
        <f t="shared" si="12"/>
        <v>16</v>
      </c>
      <c r="B21" s="36">
        <v>2</v>
      </c>
      <c r="C21" s="37" t="s">
        <v>503</v>
      </c>
      <c r="D21" s="36">
        <v>45</v>
      </c>
      <c r="E21" s="38">
        <v>24476</v>
      </c>
      <c r="F21" s="41">
        <v>24476</v>
      </c>
      <c r="G21" s="38">
        <v>10</v>
      </c>
      <c r="H21" s="36">
        <v>10</v>
      </c>
      <c r="I21" s="36">
        <v>500</v>
      </c>
      <c r="J21" s="39">
        <f t="shared" si="0"/>
        <v>4.4056800000000003</v>
      </c>
      <c r="K21" s="39">
        <f t="shared" si="1"/>
        <v>0.80770799999999998</v>
      </c>
      <c r="L21" s="39">
        <f t="shared" si="2"/>
        <v>0.53847200000000006</v>
      </c>
      <c r="M21" s="40">
        <f t="shared" si="3"/>
        <v>5.7518600000000006</v>
      </c>
      <c r="N21" s="40">
        <f t="shared" si="4"/>
        <v>1.6199999999999999</v>
      </c>
      <c r="O21" s="40">
        <f t="shared" si="5"/>
        <v>0.24660000000000001</v>
      </c>
      <c r="P21" s="40">
        <f t="shared" si="6"/>
        <v>0.33333333333333331</v>
      </c>
      <c r="Q21" s="40">
        <f t="shared" si="7"/>
        <v>2.4476</v>
      </c>
      <c r="R21" s="39">
        <f t="shared" si="8"/>
        <v>0.24475999999999998</v>
      </c>
      <c r="S21" s="36">
        <f t="shared" si="9"/>
        <v>10</v>
      </c>
      <c r="T21" s="40">
        <f t="shared" si="10"/>
        <v>14.892293333333335</v>
      </c>
      <c r="U21" s="40">
        <f t="shared" si="11"/>
        <v>20.644153333333335</v>
      </c>
    </row>
    <row r="22" spans="1:21" ht="20.100000000000001" customHeight="1" x14ac:dyDescent="0.25">
      <c r="A22" s="35">
        <f t="shared" si="12"/>
        <v>17</v>
      </c>
      <c r="B22" s="36">
        <v>2</v>
      </c>
      <c r="C22" s="37" t="s">
        <v>503</v>
      </c>
      <c r="D22" s="36">
        <v>53</v>
      </c>
      <c r="E22" s="38">
        <v>28348</v>
      </c>
      <c r="F22" s="41">
        <v>28348</v>
      </c>
      <c r="G22" s="38">
        <v>10</v>
      </c>
      <c r="H22" s="36">
        <v>10</v>
      </c>
      <c r="I22" s="36">
        <v>500</v>
      </c>
      <c r="J22" s="39">
        <f t="shared" si="0"/>
        <v>5.1026400000000001</v>
      </c>
      <c r="K22" s="39">
        <f t="shared" si="1"/>
        <v>0.93548400000000009</v>
      </c>
      <c r="L22" s="39">
        <f t="shared" si="2"/>
        <v>0.6236560000000001</v>
      </c>
      <c r="M22" s="40">
        <f t="shared" si="3"/>
        <v>6.6617800000000003</v>
      </c>
      <c r="N22" s="40">
        <f t="shared" si="4"/>
        <v>1.9080000000000001</v>
      </c>
      <c r="O22" s="40">
        <f t="shared" si="5"/>
        <v>0.29044000000000003</v>
      </c>
      <c r="P22" s="40">
        <f t="shared" si="6"/>
        <v>0.33333333333333331</v>
      </c>
      <c r="Q22" s="40">
        <f t="shared" si="7"/>
        <v>2.8348</v>
      </c>
      <c r="R22" s="39">
        <f t="shared" si="8"/>
        <v>0.28348000000000001</v>
      </c>
      <c r="S22" s="36">
        <f t="shared" si="9"/>
        <v>10</v>
      </c>
      <c r="T22" s="40">
        <f t="shared" si="10"/>
        <v>15.650053333333332</v>
      </c>
      <c r="U22" s="40">
        <f t="shared" si="11"/>
        <v>22.311833333333333</v>
      </c>
    </row>
    <row r="23" spans="1:21" ht="20.100000000000001" customHeight="1" x14ac:dyDescent="0.25">
      <c r="A23" s="35">
        <f t="shared" si="12"/>
        <v>18</v>
      </c>
      <c r="B23" s="36">
        <v>2</v>
      </c>
      <c r="C23" s="37" t="s">
        <v>503</v>
      </c>
      <c r="D23" s="36">
        <v>60</v>
      </c>
      <c r="E23" s="38">
        <v>31709</v>
      </c>
      <c r="F23" s="41">
        <v>31709</v>
      </c>
      <c r="G23" s="38">
        <v>10</v>
      </c>
      <c r="H23" s="36">
        <v>10</v>
      </c>
      <c r="I23" s="36">
        <v>500</v>
      </c>
      <c r="J23" s="39">
        <f t="shared" si="0"/>
        <v>5.7076200000000004</v>
      </c>
      <c r="K23" s="39">
        <f t="shared" si="1"/>
        <v>1.046397</v>
      </c>
      <c r="L23" s="39">
        <f t="shared" si="2"/>
        <v>0.69759800000000005</v>
      </c>
      <c r="M23" s="40">
        <f t="shared" si="3"/>
        <v>7.4516150000000003</v>
      </c>
      <c r="N23" s="40">
        <f t="shared" si="4"/>
        <v>2.16</v>
      </c>
      <c r="O23" s="40">
        <f t="shared" si="5"/>
        <v>0.32880000000000004</v>
      </c>
      <c r="P23" s="40">
        <f t="shared" si="6"/>
        <v>0.33333333333333331</v>
      </c>
      <c r="Q23" s="40">
        <f t="shared" si="7"/>
        <v>3.1709000000000001</v>
      </c>
      <c r="R23" s="39">
        <f t="shared" si="8"/>
        <v>0.31708999999999998</v>
      </c>
      <c r="S23" s="36">
        <f t="shared" si="9"/>
        <v>10</v>
      </c>
      <c r="T23" s="40">
        <f t="shared" si="10"/>
        <v>16.310123333333333</v>
      </c>
      <c r="U23" s="40">
        <f t="shared" si="11"/>
        <v>23.761738333333334</v>
      </c>
    </row>
    <row r="24" spans="1:21" ht="20.100000000000001" customHeight="1" x14ac:dyDescent="0.25">
      <c r="A24" s="35">
        <f t="shared" si="12"/>
        <v>19</v>
      </c>
      <c r="B24" s="36">
        <v>2</v>
      </c>
      <c r="C24" s="37" t="s">
        <v>503</v>
      </c>
      <c r="D24" s="36">
        <v>70</v>
      </c>
      <c r="E24" s="38">
        <v>36531</v>
      </c>
      <c r="F24" s="41">
        <v>36531</v>
      </c>
      <c r="G24" s="38">
        <v>10</v>
      </c>
      <c r="H24" s="36">
        <v>10</v>
      </c>
      <c r="I24" s="36">
        <v>500</v>
      </c>
      <c r="J24" s="39">
        <f t="shared" si="0"/>
        <v>6.5755800000000004</v>
      </c>
      <c r="K24" s="39">
        <f t="shared" si="1"/>
        <v>1.2055230000000001</v>
      </c>
      <c r="L24" s="39">
        <f t="shared" si="2"/>
        <v>0.80368200000000023</v>
      </c>
      <c r="M24" s="40">
        <f t="shared" si="3"/>
        <v>8.5847850000000001</v>
      </c>
      <c r="N24" s="40">
        <f t="shared" si="4"/>
        <v>2.52</v>
      </c>
      <c r="O24" s="40">
        <f t="shared" si="5"/>
        <v>0.38360000000000005</v>
      </c>
      <c r="P24" s="40">
        <f t="shared" si="6"/>
        <v>0.33333333333333331</v>
      </c>
      <c r="Q24" s="40">
        <f t="shared" si="7"/>
        <v>3.6531000000000002</v>
      </c>
      <c r="R24" s="39">
        <f t="shared" si="8"/>
        <v>0.36531000000000008</v>
      </c>
      <c r="S24" s="36">
        <f t="shared" si="9"/>
        <v>10</v>
      </c>
      <c r="T24" s="40">
        <f t="shared" si="10"/>
        <v>17.255343333333332</v>
      </c>
      <c r="U24" s="40">
        <f t="shared" si="11"/>
        <v>25.840128333333332</v>
      </c>
    </row>
    <row r="25" spans="1:21" ht="20.100000000000001" customHeight="1" x14ac:dyDescent="0.25">
      <c r="A25" s="35">
        <f t="shared" si="12"/>
        <v>20</v>
      </c>
      <c r="B25" s="36">
        <v>2</v>
      </c>
      <c r="C25" s="37" t="s">
        <v>503</v>
      </c>
      <c r="D25" s="36">
        <v>80</v>
      </c>
      <c r="E25" s="38">
        <v>41280</v>
      </c>
      <c r="F25" s="41">
        <v>41280</v>
      </c>
      <c r="G25" s="38">
        <v>10</v>
      </c>
      <c r="H25" s="36">
        <v>10</v>
      </c>
      <c r="I25" s="36">
        <v>500</v>
      </c>
      <c r="J25" s="39">
        <f t="shared" si="0"/>
        <v>7.4303999999999997</v>
      </c>
      <c r="K25" s="39">
        <f t="shared" si="1"/>
        <v>1.3622400000000001</v>
      </c>
      <c r="L25" s="39">
        <f t="shared" si="2"/>
        <v>0.90816000000000019</v>
      </c>
      <c r="M25" s="40">
        <f t="shared" si="3"/>
        <v>9.700800000000001</v>
      </c>
      <c r="N25" s="40">
        <f t="shared" si="4"/>
        <v>2.88</v>
      </c>
      <c r="O25" s="40">
        <f t="shared" si="5"/>
        <v>0.43840000000000007</v>
      </c>
      <c r="P25" s="40">
        <f t="shared" si="6"/>
        <v>0.33333333333333331</v>
      </c>
      <c r="Q25" s="40">
        <f t="shared" si="7"/>
        <v>4.1280000000000001</v>
      </c>
      <c r="R25" s="39">
        <f t="shared" si="8"/>
        <v>0.4128</v>
      </c>
      <c r="S25" s="36">
        <f t="shared" si="9"/>
        <v>10</v>
      </c>
      <c r="T25" s="40">
        <f t="shared" si="10"/>
        <v>18.192533333333333</v>
      </c>
      <c r="U25" s="40">
        <f t="shared" si="11"/>
        <v>27.893333333333334</v>
      </c>
    </row>
    <row r="26" spans="1:21" ht="20.100000000000001" customHeight="1" x14ac:dyDescent="0.25">
      <c r="A26" s="35">
        <f t="shared" si="12"/>
        <v>21</v>
      </c>
      <c r="B26" s="36">
        <v>2</v>
      </c>
      <c r="C26" s="37" t="s">
        <v>503</v>
      </c>
      <c r="D26" s="36">
        <v>90</v>
      </c>
      <c r="E26" s="38">
        <v>46029</v>
      </c>
      <c r="F26" s="41">
        <v>46029</v>
      </c>
      <c r="G26" s="38">
        <v>10</v>
      </c>
      <c r="H26" s="36">
        <v>10</v>
      </c>
      <c r="I26" s="36">
        <v>500</v>
      </c>
      <c r="J26" s="39">
        <f t="shared" si="0"/>
        <v>8.2852199999999989</v>
      </c>
      <c r="K26" s="39">
        <f t="shared" si="1"/>
        <v>1.5189569999999999</v>
      </c>
      <c r="L26" s="39">
        <f t="shared" si="2"/>
        <v>1.0126380000000001</v>
      </c>
      <c r="M26" s="40">
        <f t="shared" si="3"/>
        <v>10.816815</v>
      </c>
      <c r="N26" s="40">
        <f t="shared" si="4"/>
        <v>3.2399999999999998</v>
      </c>
      <c r="O26" s="40">
        <f t="shared" si="5"/>
        <v>0.49320000000000003</v>
      </c>
      <c r="P26" s="40">
        <f t="shared" si="6"/>
        <v>0.33333333333333331</v>
      </c>
      <c r="Q26" s="40">
        <f t="shared" si="7"/>
        <v>4.6029</v>
      </c>
      <c r="R26" s="39">
        <f t="shared" si="8"/>
        <v>0.46028999999999998</v>
      </c>
      <c r="S26" s="36">
        <f t="shared" si="9"/>
        <v>10</v>
      </c>
      <c r="T26" s="40">
        <f t="shared" si="10"/>
        <v>19.129723333333335</v>
      </c>
      <c r="U26" s="40">
        <f t="shared" si="11"/>
        <v>29.946538333333336</v>
      </c>
    </row>
    <row r="27" spans="1:21" ht="20.100000000000001" customHeight="1" x14ac:dyDescent="0.25">
      <c r="A27" s="35">
        <f t="shared" si="12"/>
        <v>22</v>
      </c>
      <c r="B27" s="36">
        <v>2</v>
      </c>
      <c r="C27" s="37" t="s">
        <v>503</v>
      </c>
      <c r="D27" s="36">
        <v>105</v>
      </c>
      <c r="E27" s="38">
        <v>53335</v>
      </c>
      <c r="F27" s="41">
        <v>53335</v>
      </c>
      <c r="G27" s="38">
        <v>10</v>
      </c>
      <c r="H27" s="36">
        <v>10</v>
      </c>
      <c r="I27" s="36">
        <v>500</v>
      </c>
      <c r="J27" s="39">
        <f t="shared" si="0"/>
        <v>9.6003000000000007</v>
      </c>
      <c r="K27" s="39">
        <f t="shared" si="1"/>
        <v>1.7600550000000001</v>
      </c>
      <c r="L27" s="39">
        <f t="shared" si="2"/>
        <v>1.1733700000000002</v>
      </c>
      <c r="M27" s="40">
        <f t="shared" si="3"/>
        <v>12.533725</v>
      </c>
      <c r="N27" s="40">
        <f t="shared" si="4"/>
        <v>3.78</v>
      </c>
      <c r="O27" s="40">
        <f t="shared" si="5"/>
        <v>0.57540000000000002</v>
      </c>
      <c r="P27" s="40">
        <f t="shared" si="6"/>
        <v>0.33333333333333331</v>
      </c>
      <c r="Q27" s="40">
        <f t="shared" si="7"/>
        <v>5.3334999999999999</v>
      </c>
      <c r="R27" s="39">
        <f t="shared" si="8"/>
        <v>0.53334999999999999</v>
      </c>
      <c r="S27" s="36">
        <f t="shared" si="9"/>
        <v>10</v>
      </c>
      <c r="T27" s="40">
        <f t="shared" si="10"/>
        <v>20.555583333333331</v>
      </c>
      <c r="U27" s="40">
        <f t="shared" si="11"/>
        <v>33.089308333333335</v>
      </c>
    </row>
    <row r="28" spans="1:21" ht="20.100000000000001" customHeight="1" x14ac:dyDescent="0.25">
      <c r="A28" s="35">
        <f t="shared" si="12"/>
        <v>23</v>
      </c>
      <c r="B28" s="36">
        <v>2</v>
      </c>
      <c r="C28" s="37" t="s">
        <v>503</v>
      </c>
      <c r="D28" s="36">
        <v>120</v>
      </c>
      <c r="E28" s="38">
        <v>60641</v>
      </c>
      <c r="F28" s="41">
        <v>60641</v>
      </c>
      <c r="G28" s="38">
        <v>10</v>
      </c>
      <c r="H28" s="36">
        <v>10</v>
      </c>
      <c r="I28" s="36">
        <v>500</v>
      </c>
      <c r="J28" s="39">
        <f t="shared" si="0"/>
        <v>10.915380000000001</v>
      </c>
      <c r="K28" s="39">
        <f t="shared" si="1"/>
        <v>2.001153</v>
      </c>
      <c r="L28" s="39">
        <f t="shared" si="2"/>
        <v>1.3341020000000001</v>
      </c>
      <c r="M28" s="40">
        <f t="shared" si="3"/>
        <v>14.250635000000001</v>
      </c>
      <c r="N28" s="40">
        <f t="shared" si="4"/>
        <v>4.32</v>
      </c>
      <c r="O28" s="40">
        <f t="shared" si="5"/>
        <v>0.65760000000000007</v>
      </c>
      <c r="P28" s="40">
        <f t="shared" si="6"/>
        <v>0.33333333333333331</v>
      </c>
      <c r="Q28" s="40">
        <f t="shared" si="7"/>
        <v>6.0641000000000007</v>
      </c>
      <c r="R28" s="39">
        <f t="shared" si="8"/>
        <v>0.60641</v>
      </c>
      <c r="S28" s="36">
        <f t="shared" si="9"/>
        <v>10</v>
      </c>
      <c r="T28" s="40">
        <f t="shared" si="10"/>
        <v>21.981443333333335</v>
      </c>
      <c r="U28" s="40">
        <f t="shared" si="11"/>
        <v>36.232078333333334</v>
      </c>
    </row>
    <row r="29" spans="1:21" ht="20.100000000000001" customHeight="1" x14ac:dyDescent="0.25">
      <c r="A29" s="35">
        <f t="shared" si="12"/>
        <v>24</v>
      </c>
      <c r="B29" s="36">
        <v>2</v>
      </c>
      <c r="C29" s="37" t="s">
        <v>503</v>
      </c>
      <c r="D29" s="36">
        <v>140</v>
      </c>
      <c r="E29" s="38">
        <v>70139</v>
      </c>
      <c r="F29" s="41">
        <v>70139</v>
      </c>
      <c r="G29" s="38">
        <v>10</v>
      </c>
      <c r="H29" s="36">
        <v>10</v>
      </c>
      <c r="I29" s="36">
        <v>500</v>
      </c>
      <c r="J29" s="39">
        <f t="shared" si="0"/>
        <v>12.625019999999999</v>
      </c>
      <c r="K29" s="39">
        <f t="shared" si="1"/>
        <v>2.314587</v>
      </c>
      <c r="L29" s="39">
        <f t="shared" si="2"/>
        <v>1.543058</v>
      </c>
      <c r="M29" s="40">
        <f t="shared" si="3"/>
        <v>16.482664999999997</v>
      </c>
      <c r="N29" s="40">
        <f t="shared" si="4"/>
        <v>5.04</v>
      </c>
      <c r="O29" s="40">
        <f t="shared" si="5"/>
        <v>0.7672000000000001</v>
      </c>
      <c r="P29" s="40">
        <f t="shared" si="6"/>
        <v>0.33333333333333331</v>
      </c>
      <c r="Q29" s="40">
        <f t="shared" si="7"/>
        <v>7.0139000000000005</v>
      </c>
      <c r="R29" s="39">
        <f t="shared" si="8"/>
        <v>0.70139000000000007</v>
      </c>
      <c r="S29" s="36">
        <f t="shared" si="9"/>
        <v>10</v>
      </c>
      <c r="T29" s="40">
        <f t="shared" si="10"/>
        <v>23.855823333333333</v>
      </c>
      <c r="U29" s="40">
        <f t="shared" si="11"/>
        <v>40.338488333333331</v>
      </c>
    </row>
    <row r="30" spans="1:21" ht="20.100000000000001" customHeight="1" x14ac:dyDescent="0.25">
      <c r="A30" s="35">
        <f t="shared" si="12"/>
        <v>25</v>
      </c>
      <c r="B30" s="36">
        <v>2</v>
      </c>
      <c r="C30" s="37" t="s">
        <v>503</v>
      </c>
      <c r="D30" s="36">
        <v>160</v>
      </c>
      <c r="E30" s="38">
        <v>80002</v>
      </c>
      <c r="F30" s="41">
        <v>80002</v>
      </c>
      <c r="G30" s="38">
        <v>10</v>
      </c>
      <c r="H30" s="36">
        <v>10</v>
      </c>
      <c r="I30" s="36">
        <v>500</v>
      </c>
      <c r="J30" s="39">
        <f t="shared" si="0"/>
        <v>14.400360000000001</v>
      </c>
      <c r="K30" s="39">
        <f t="shared" si="1"/>
        <v>2.6400660000000005</v>
      </c>
      <c r="L30" s="39">
        <f t="shared" si="2"/>
        <v>1.7600440000000004</v>
      </c>
      <c r="M30" s="40">
        <f t="shared" si="3"/>
        <v>18.800470000000001</v>
      </c>
      <c r="N30" s="40">
        <f t="shared" si="4"/>
        <v>5.76</v>
      </c>
      <c r="O30" s="40">
        <f t="shared" si="5"/>
        <v>0.87680000000000013</v>
      </c>
      <c r="P30" s="40">
        <f t="shared" si="6"/>
        <v>0.33333333333333331</v>
      </c>
      <c r="Q30" s="40">
        <f t="shared" si="7"/>
        <v>8.0001999999999995</v>
      </c>
      <c r="R30" s="39">
        <f t="shared" si="8"/>
        <v>0.80001999999999995</v>
      </c>
      <c r="S30" s="36">
        <f t="shared" si="9"/>
        <v>10</v>
      </c>
      <c r="T30" s="40">
        <f t="shared" si="10"/>
        <v>25.770353333333333</v>
      </c>
      <c r="U30" s="40">
        <f t="shared" si="11"/>
        <v>44.570823333333337</v>
      </c>
    </row>
    <row r="31" spans="1:21" ht="20.100000000000001" customHeight="1" x14ac:dyDescent="0.25">
      <c r="A31" s="35">
        <f t="shared" si="12"/>
        <v>26</v>
      </c>
      <c r="B31" s="36">
        <v>2</v>
      </c>
      <c r="C31" s="37" t="s">
        <v>503</v>
      </c>
      <c r="D31" s="36">
        <v>180</v>
      </c>
      <c r="E31" s="38">
        <v>89500</v>
      </c>
      <c r="F31" s="41">
        <v>89500</v>
      </c>
      <c r="G31" s="38">
        <v>10</v>
      </c>
      <c r="H31" s="36">
        <v>10</v>
      </c>
      <c r="I31" s="36">
        <v>500</v>
      </c>
      <c r="J31" s="39">
        <f t="shared" si="0"/>
        <v>16.11</v>
      </c>
      <c r="K31" s="39">
        <f t="shared" si="1"/>
        <v>2.9535000000000005</v>
      </c>
      <c r="L31" s="39">
        <f t="shared" si="2"/>
        <v>1.9690000000000003</v>
      </c>
      <c r="M31" s="40">
        <f t="shared" si="3"/>
        <v>21.032500000000002</v>
      </c>
      <c r="N31" s="40">
        <f t="shared" si="4"/>
        <v>6.4799999999999995</v>
      </c>
      <c r="O31" s="40">
        <f t="shared" si="5"/>
        <v>0.98640000000000005</v>
      </c>
      <c r="P31" s="40">
        <f t="shared" si="6"/>
        <v>0.33333333333333331</v>
      </c>
      <c r="Q31" s="40">
        <f t="shared" si="7"/>
        <v>8.9500000000000011</v>
      </c>
      <c r="R31" s="39">
        <f t="shared" si="8"/>
        <v>0.89500000000000013</v>
      </c>
      <c r="S31" s="36">
        <f t="shared" si="9"/>
        <v>10</v>
      </c>
      <c r="T31" s="40">
        <f t="shared" si="10"/>
        <v>27.644733333333331</v>
      </c>
      <c r="U31" s="40">
        <f t="shared" si="11"/>
        <v>48.677233333333334</v>
      </c>
    </row>
    <row r="32" spans="1:21" ht="20.100000000000001" customHeight="1" x14ac:dyDescent="0.25">
      <c r="A32" s="35">
        <f t="shared" si="12"/>
        <v>27</v>
      </c>
      <c r="B32" s="36">
        <v>2</v>
      </c>
      <c r="C32" s="37" t="s">
        <v>503</v>
      </c>
      <c r="D32" s="36">
        <v>210</v>
      </c>
      <c r="E32" s="38">
        <v>106670</v>
      </c>
      <c r="F32" s="41">
        <v>106670</v>
      </c>
      <c r="G32" s="38">
        <v>10</v>
      </c>
      <c r="H32" s="36">
        <v>10</v>
      </c>
      <c r="I32" s="36">
        <v>500</v>
      </c>
      <c r="J32" s="39">
        <f t="shared" si="0"/>
        <v>19.200600000000001</v>
      </c>
      <c r="K32" s="39">
        <f t="shared" si="1"/>
        <v>3.5201100000000003</v>
      </c>
      <c r="L32" s="39">
        <f t="shared" si="2"/>
        <v>2.3467400000000005</v>
      </c>
      <c r="M32" s="40">
        <f t="shared" si="3"/>
        <v>25.067450000000001</v>
      </c>
      <c r="N32" s="40">
        <f t="shared" si="4"/>
        <v>7.56</v>
      </c>
      <c r="O32" s="40">
        <f t="shared" si="5"/>
        <v>1.1508</v>
      </c>
      <c r="P32" s="40">
        <f t="shared" si="6"/>
        <v>0.33333333333333331</v>
      </c>
      <c r="Q32" s="40">
        <f t="shared" si="7"/>
        <v>10.667</v>
      </c>
      <c r="R32" s="39">
        <f t="shared" si="8"/>
        <v>1.0667</v>
      </c>
      <c r="S32" s="36">
        <f t="shared" si="9"/>
        <v>10</v>
      </c>
      <c r="T32" s="40">
        <f t="shared" si="10"/>
        <v>30.777833333333334</v>
      </c>
      <c r="U32" s="40">
        <f t="shared" si="11"/>
        <v>55.845283333333334</v>
      </c>
    </row>
    <row r="33" spans="1:21" ht="20.100000000000001" customHeight="1" x14ac:dyDescent="0.25">
      <c r="A33" s="35">
        <f t="shared" si="12"/>
        <v>28</v>
      </c>
      <c r="B33" s="36">
        <v>2</v>
      </c>
      <c r="C33" s="37" t="s">
        <v>503</v>
      </c>
      <c r="D33" s="36">
        <v>240</v>
      </c>
      <c r="E33" s="38">
        <v>121282</v>
      </c>
      <c r="F33" s="41">
        <v>121282</v>
      </c>
      <c r="G33" s="38">
        <v>10</v>
      </c>
      <c r="H33" s="36">
        <v>10</v>
      </c>
      <c r="I33" s="36">
        <v>500</v>
      </c>
      <c r="J33" s="39">
        <f t="shared" si="0"/>
        <v>21.830760000000001</v>
      </c>
      <c r="K33" s="39">
        <f t="shared" si="1"/>
        <v>4.0023059999999999</v>
      </c>
      <c r="L33" s="39">
        <f t="shared" si="2"/>
        <v>2.6682040000000002</v>
      </c>
      <c r="M33" s="40">
        <f t="shared" si="3"/>
        <v>28.501270000000002</v>
      </c>
      <c r="N33" s="40">
        <f t="shared" si="4"/>
        <v>8.64</v>
      </c>
      <c r="O33" s="40">
        <f t="shared" si="5"/>
        <v>1.3152000000000001</v>
      </c>
      <c r="P33" s="40">
        <f t="shared" si="6"/>
        <v>0.33333333333333331</v>
      </c>
      <c r="Q33" s="40">
        <f t="shared" si="7"/>
        <v>12.128200000000001</v>
      </c>
      <c r="R33" s="39">
        <f t="shared" si="8"/>
        <v>1.21282</v>
      </c>
      <c r="S33" s="36">
        <f t="shared" si="9"/>
        <v>10</v>
      </c>
      <c r="T33" s="40">
        <f t="shared" si="10"/>
        <v>33.629553333333334</v>
      </c>
      <c r="U33" s="40">
        <f t="shared" si="11"/>
        <v>62.130823333333339</v>
      </c>
    </row>
    <row r="34" spans="1:21" ht="20.100000000000001" customHeight="1" x14ac:dyDescent="0.25">
      <c r="A34" s="35">
        <f t="shared" si="12"/>
        <v>29</v>
      </c>
      <c r="B34" s="36">
        <v>2</v>
      </c>
      <c r="C34" s="37" t="s">
        <v>503</v>
      </c>
      <c r="D34" s="36">
        <v>280</v>
      </c>
      <c r="E34" s="38">
        <v>140278</v>
      </c>
      <c r="F34" s="41">
        <v>140278</v>
      </c>
      <c r="G34" s="38">
        <v>10</v>
      </c>
      <c r="H34" s="36">
        <v>10</v>
      </c>
      <c r="I34" s="36">
        <v>500</v>
      </c>
      <c r="J34" s="39">
        <f t="shared" si="0"/>
        <v>25.250039999999998</v>
      </c>
      <c r="K34" s="39">
        <f t="shared" si="1"/>
        <v>4.6291739999999999</v>
      </c>
      <c r="L34" s="39">
        <f t="shared" si="2"/>
        <v>3.0861160000000001</v>
      </c>
      <c r="M34" s="40">
        <f t="shared" si="3"/>
        <v>32.965329999999994</v>
      </c>
      <c r="N34" s="40">
        <f t="shared" si="4"/>
        <v>10.08</v>
      </c>
      <c r="O34" s="40">
        <f t="shared" si="5"/>
        <v>1.5344000000000002</v>
      </c>
      <c r="P34" s="40">
        <f t="shared" si="6"/>
        <v>0.33333333333333331</v>
      </c>
      <c r="Q34" s="40">
        <f t="shared" si="7"/>
        <v>14.027800000000001</v>
      </c>
      <c r="R34" s="39">
        <f t="shared" si="8"/>
        <v>1.4027800000000001</v>
      </c>
      <c r="S34" s="36">
        <f t="shared" si="9"/>
        <v>10</v>
      </c>
      <c r="T34" s="40">
        <f t="shared" si="10"/>
        <v>37.378313333333338</v>
      </c>
      <c r="U34" s="40">
        <f t="shared" si="11"/>
        <v>70.343643333333333</v>
      </c>
    </row>
    <row r="35" spans="1:21" ht="20.100000000000001" customHeight="1" x14ac:dyDescent="0.25">
      <c r="A35" s="35">
        <f t="shared" si="12"/>
        <v>30</v>
      </c>
      <c r="B35" s="36">
        <v>2</v>
      </c>
      <c r="C35" s="37" t="s">
        <v>503</v>
      </c>
      <c r="D35" s="36">
        <v>320</v>
      </c>
      <c r="E35" s="38">
        <v>159274</v>
      </c>
      <c r="F35" s="41">
        <v>159274</v>
      </c>
      <c r="G35" s="38">
        <v>10</v>
      </c>
      <c r="H35" s="36">
        <v>10</v>
      </c>
      <c r="I35" s="36">
        <v>500</v>
      </c>
      <c r="J35" s="39">
        <f t="shared" si="0"/>
        <v>28.669320000000003</v>
      </c>
      <c r="K35" s="39">
        <f t="shared" si="1"/>
        <v>5.2560420000000008</v>
      </c>
      <c r="L35" s="39">
        <f t="shared" si="2"/>
        <v>3.5040280000000008</v>
      </c>
      <c r="M35" s="40">
        <f t="shared" si="3"/>
        <v>37.429390000000005</v>
      </c>
      <c r="N35" s="40">
        <f t="shared" si="4"/>
        <v>11.52</v>
      </c>
      <c r="O35" s="40">
        <f t="shared" si="5"/>
        <v>1.7536000000000003</v>
      </c>
      <c r="P35" s="40">
        <f t="shared" si="6"/>
        <v>0.33333333333333331</v>
      </c>
      <c r="Q35" s="40">
        <f t="shared" si="7"/>
        <v>15.9274</v>
      </c>
      <c r="R35" s="39">
        <f t="shared" si="8"/>
        <v>1.59274</v>
      </c>
      <c r="S35" s="36">
        <f t="shared" si="9"/>
        <v>10</v>
      </c>
      <c r="T35" s="40">
        <f t="shared" si="10"/>
        <v>41.127073333333335</v>
      </c>
      <c r="U35" s="40">
        <f t="shared" si="11"/>
        <v>78.55646333333334</v>
      </c>
    </row>
    <row r="36" spans="1:21" ht="20.100000000000001" customHeight="1" x14ac:dyDescent="0.25">
      <c r="A36" s="35">
        <f t="shared" si="12"/>
        <v>31</v>
      </c>
      <c r="B36" s="36">
        <v>3</v>
      </c>
      <c r="C36" s="42" t="s">
        <v>504</v>
      </c>
      <c r="D36" s="36">
        <v>45</v>
      </c>
      <c r="E36" s="38">
        <v>28147</v>
      </c>
      <c r="F36" s="41">
        <v>28147</v>
      </c>
      <c r="G36" s="38">
        <v>10</v>
      </c>
      <c r="H36" s="36">
        <v>10</v>
      </c>
      <c r="I36" s="36">
        <v>500</v>
      </c>
      <c r="J36" s="39">
        <f t="shared" si="0"/>
        <v>5.0664600000000002</v>
      </c>
      <c r="K36" s="39">
        <f t="shared" si="1"/>
        <v>0.92885099999999998</v>
      </c>
      <c r="L36" s="39">
        <f t="shared" si="2"/>
        <v>0.61923400000000006</v>
      </c>
      <c r="M36" s="40">
        <f t="shared" si="3"/>
        <v>6.6145449999999997</v>
      </c>
      <c r="N36" s="40">
        <f t="shared" si="4"/>
        <v>1.6199999999999999</v>
      </c>
      <c r="O36" s="40">
        <f t="shared" si="5"/>
        <v>0.24660000000000001</v>
      </c>
      <c r="P36" s="40">
        <f t="shared" si="6"/>
        <v>0.33333333333333331</v>
      </c>
      <c r="Q36" s="40">
        <f t="shared" si="7"/>
        <v>2.8147000000000002</v>
      </c>
      <c r="R36" s="39">
        <f t="shared" si="8"/>
        <v>0.28147</v>
      </c>
      <c r="S36" s="36">
        <f t="shared" si="9"/>
        <v>10</v>
      </c>
      <c r="T36" s="40">
        <f t="shared" si="10"/>
        <v>15.296103333333333</v>
      </c>
      <c r="U36" s="40">
        <f t="shared" si="11"/>
        <v>21.910648333333334</v>
      </c>
    </row>
    <row r="37" spans="1:21" ht="20.100000000000001" customHeight="1" x14ac:dyDescent="0.25">
      <c r="A37" s="35">
        <f t="shared" si="12"/>
        <v>32</v>
      </c>
      <c r="B37" s="36">
        <v>3</v>
      </c>
      <c r="C37" s="42" t="s">
        <v>504</v>
      </c>
      <c r="D37" s="36">
        <v>53</v>
      </c>
      <c r="E37" s="38">
        <v>32600</v>
      </c>
      <c r="F37" s="41">
        <v>32600</v>
      </c>
      <c r="G37" s="38">
        <v>10</v>
      </c>
      <c r="H37" s="36">
        <v>10</v>
      </c>
      <c r="I37" s="36">
        <v>500</v>
      </c>
      <c r="J37" s="39">
        <f t="shared" si="0"/>
        <v>5.8680000000000003</v>
      </c>
      <c r="K37" s="39">
        <f t="shared" si="1"/>
        <v>1.0757999999999999</v>
      </c>
      <c r="L37" s="39">
        <f t="shared" si="2"/>
        <v>0.71719999999999995</v>
      </c>
      <c r="M37" s="40">
        <f t="shared" si="3"/>
        <v>7.6610000000000005</v>
      </c>
      <c r="N37" s="40">
        <f t="shared" si="4"/>
        <v>1.9080000000000001</v>
      </c>
      <c r="O37" s="40">
        <f t="shared" si="5"/>
        <v>0.29044000000000003</v>
      </c>
      <c r="P37" s="40">
        <f t="shared" si="6"/>
        <v>0.33333333333333331</v>
      </c>
      <c r="Q37" s="40">
        <f t="shared" si="7"/>
        <v>3.2600000000000002</v>
      </c>
      <c r="R37" s="39">
        <f t="shared" si="8"/>
        <v>0.32600000000000001</v>
      </c>
      <c r="S37" s="36">
        <f t="shared" si="9"/>
        <v>10</v>
      </c>
      <c r="T37" s="40">
        <f t="shared" si="10"/>
        <v>16.117773333333332</v>
      </c>
      <c r="U37" s="40">
        <f t="shared" si="11"/>
        <v>23.778773333333334</v>
      </c>
    </row>
    <row r="38" spans="1:21" ht="20.100000000000001" customHeight="1" x14ac:dyDescent="0.25">
      <c r="A38" s="35">
        <f t="shared" si="12"/>
        <v>33</v>
      </c>
      <c r="B38" s="36">
        <v>3</v>
      </c>
      <c r="C38" s="42" t="s">
        <v>504</v>
      </c>
      <c r="D38" s="36">
        <v>60</v>
      </c>
      <c r="E38" s="38">
        <v>36465</v>
      </c>
      <c r="F38" s="41">
        <v>36465</v>
      </c>
      <c r="G38" s="38">
        <v>10</v>
      </c>
      <c r="H38" s="36">
        <v>10</v>
      </c>
      <c r="I38" s="36">
        <v>500</v>
      </c>
      <c r="J38" s="39">
        <f t="shared" si="0"/>
        <v>6.5636999999999999</v>
      </c>
      <c r="K38" s="39">
        <f t="shared" si="1"/>
        <v>1.2033449999999999</v>
      </c>
      <c r="L38" s="39">
        <f t="shared" si="2"/>
        <v>0.80223</v>
      </c>
      <c r="M38" s="40">
        <f t="shared" si="3"/>
        <v>8.5692749999999993</v>
      </c>
      <c r="N38" s="40">
        <f t="shared" si="4"/>
        <v>2.16</v>
      </c>
      <c r="O38" s="40">
        <f t="shared" si="5"/>
        <v>0.32880000000000004</v>
      </c>
      <c r="P38" s="40">
        <f t="shared" si="6"/>
        <v>0.33333333333333331</v>
      </c>
      <c r="Q38" s="40">
        <f t="shared" si="7"/>
        <v>3.6465000000000001</v>
      </c>
      <c r="R38" s="39">
        <f t="shared" si="8"/>
        <v>0.36465000000000003</v>
      </c>
      <c r="S38" s="36">
        <f t="shared" si="9"/>
        <v>10</v>
      </c>
      <c r="T38" s="40">
        <f t="shared" si="10"/>
        <v>16.833283333333334</v>
      </c>
      <c r="U38" s="40">
        <f t="shared" si="11"/>
        <v>25.402558333333332</v>
      </c>
    </row>
    <row r="39" spans="1:21" ht="20.100000000000001" customHeight="1" x14ac:dyDescent="0.25">
      <c r="A39" s="35">
        <f t="shared" si="12"/>
        <v>34</v>
      </c>
      <c r="B39" s="36">
        <v>3</v>
      </c>
      <c r="C39" s="42" t="s">
        <v>504</v>
      </c>
      <c r="D39" s="36">
        <v>70</v>
      </c>
      <c r="E39" s="38">
        <v>42010</v>
      </c>
      <c r="F39" s="41">
        <v>42010</v>
      </c>
      <c r="G39" s="38">
        <v>10</v>
      </c>
      <c r="H39" s="36">
        <v>10</v>
      </c>
      <c r="I39" s="36">
        <v>500</v>
      </c>
      <c r="J39" s="39">
        <f t="shared" si="0"/>
        <v>7.5617999999999999</v>
      </c>
      <c r="K39" s="39">
        <f t="shared" si="1"/>
        <v>1.3863300000000001</v>
      </c>
      <c r="L39" s="39">
        <f t="shared" si="2"/>
        <v>0.92422000000000015</v>
      </c>
      <c r="M39" s="40">
        <f t="shared" si="3"/>
        <v>9.8723499999999991</v>
      </c>
      <c r="N39" s="40">
        <f t="shared" si="4"/>
        <v>2.52</v>
      </c>
      <c r="O39" s="40">
        <f t="shared" si="5"/>
        <v>0.38360000000000005</v>
      </c>
      <c r="P39" s="40">
        <f t="shared" si="6"/>
        <v>0.33333333333333331</v>
      </c>
      <c r="Q39" s="40">
        <f t="shared" si="7"/>
        <v>4.2010000000000005</v>
      </c>
      <c r="R39" s="39">
        <f t="shared" si="8"/>
        <v>0.42010000000000003</v>
      </c>
      <c r="S39" s="36">
        <f t="shared" si="9"/>
        <v>10</v>
      </c>
      <c r="T39" s="40">
        <f t="shared" si="10"/>
        <v>17.858033333333331</v>
      </c>
      <c r="U39" s="40">
        <f t="shared" si="11"/>
        <v>27.730383333333329</v>
      </c>
    </row>
    <row r="40" spans="1:21" ht="20.100000000000001" customHeight="1" x14ac:dyDescent="0.25">
      <c r="A40" s="35">
        <f t="shared" si="12"/>
        <v>35</v>
      </c>
      <c r="B40" s="36">
        <v>3</v>
      </c>
      <c r="C40" s="42" t="s">
        <v>504</v>
      </c>
      <c r="D40" s="36">
        <v>80</v>
      </c>
      <c r="E40" s="38">
        <v>47472</v>
      </c>
      <c r="F40" s="41">
        <v>47472</v>
      </c>
      <c r="G40" s="38">
        <v>10</v>
      </c>
      <c r="H40" s="36">
        <v>10</v>
      </c>
      <c r="I40" s="36">
        <v>500</v>
      </c>
      <c r="J40" s="39">
        <f t="shared" si="0"/>
        <v>8.5449600000000014</v>
      </c>
      <c r="K40" s="39">
        <f t="shared" si="1"/>
        <v>1.5665760000000002</v>
      </c>
      <c r="L40" s="39">
        <f t="shared" si="2"/>
        <v>1.0443840000000002</v>
      </c>
      <c r="M40" s="40">
        <f t="shared" si="3"/>
        <v>11.155920000000002</v>
      </c>
      <c r="N40" s="40">
        <f t="shared" si="4"/>
        <v>2.88</v>
      </c>
      <c r="O40" s="40">
        <f t="shared" si="5"/>
        <v>0.43840000000000007</v>
      </c>
      <c r="P40" s="40">
        <f t="shared" si="6"/>
        <v>0.33333333333333331</v>
      </c>
      <c r="Q40" s="40">
        <f t="shared" si="7"/>
        <v>4.7472000000000003</v>
      </c>
      <c r="R40" s="39">
        <f t="shared" si="8"/>
        <v>0.47472000000000003</v>
      </c>
      <c r="S40" s="36">
        <f t="shared" si="9"/>
        <v>10</v>
      </c>
      <c r="T40" s="40">
        <f t="shared" si="10"/>
        <v>18.873653333333333</v>
      </c>
      <c r="U40" s="40">
        <f t="shared" si="11"/>
        <v>30.029573333333335</v>
      </c>
    </row>
    <row r="41" spans="1:21" ht="20.100000000000001" customHeight="1" x14ac:dyDescent="0.25">
      <c r="A41" s="35">
        <f t="shared" si="12"/>
        <v>36</v>
      </c>
      <c r="B41" s="36">
        <v>3</v>
      </c>
      <c r="C41" s="42" t="s">
        <v>504</v>
      </c>
      <c r="D41" s="36">
        <v>90</v>
      </c>
      <c r="E41" s="38">
        <v>52933</v>
      </c>
      <c r="F41" s="41">
        <v>52933</v>
      </c>
      <c r="G41" s="38">
        <v>10</v>
      </c>
      <c r="H41" s="36">
        <v>10</v>
      </c>
      <c r="I41" s="36">
        <v>500</v>
      </c>
      <c r="J41" s="39">
        <f t="shared" si="0"/>
        <v>9.527940000000001</v>
      </c>
      <c r="K41" s="39">
        <f t="shared" si="1"/>
        <v>1.7467889999999999</v>
      </c>
      <c r="L41" s="39">
        <f t="shared" si="2"/>
        <v>1.1645260000000002</v>
      </c>
      <c r="M41" s="40">
        <f t="shared" si="3"/>
        <v>12.439255000000001</v>
      </c>
      <c r="N41" s="40">
        <f t="shared" si="4"/>
        <v>3.2399999999999998</v>
      </c>
      <c r="O41" s="40">
        <f t="shared" si="5"/>
        <v>0.49320000000000003</v>
      </c>
      <c r="P41" s="40">
        <f t="shared" si="6"/>
        <v>0.33333333333333331</v>
      </c>
      <c r="Q41" s="40">
        <f t="shared" si="7"/>
        <v>5.2933000000000003</v>
      </c>
      <c r="R41" s="39">
        <f t="shared" si="8"/>
        <v>0.52933000000000008</v>
      </c>
      <c r="S41" s="36">
        <f t="shared" si="9"/>
        <v>10</v>
      </c>
      <c r="T41" s="40">
        <f t="shared" si="10"/>
        <v>19.889163333333336</v>
      </c>
      <c r="U41" s="40">
        <f t="shared" si="11"/>
        <v>32.328418333333339</v>
      </c>
    </row>
    <row r="42" spans="1:21" ht="20.100000000000001" customHeight="1" x14ac:dyDescent="0.25">
      <c r="A42" s="35">
        <f t="shared" si="12"/>
        <v>37</v>
      </c>
      <c r="B42" s="36">
        <v>3</v>
      </c>
      <c r="C42" s="42" t="s">
        <v>504</v>
      </c>
      <c r="D42" s="36">
        <v>105</v>
      </c>
      <c r="E42" s="38">
        <v>61335</v>
      </c>
      <c r="F42" s="41">
        <v>61335</v>
      </c>
      <c r="G42" s="38">
        <v>10</v>
      </c>
      <c r="H42" s="36">
        <v>10</v>
      </c>
      <c r="I42" s="36">
        <v>500</v>
      </c>
      <c r="J42" s="39">
        <f t="shared" si="0"/>
        <v>11.0403</v>
      </c>
      <c r="K42" s="39">
        <f t="shared" si="1"/>
        <v>2.0240550000000002</v>
      </c>
      <c r="L42" s="39">
        <f t="shared" si="2"/>
        <v>1.3493700000000002</v>
      </c>
      <c r="M42" s="40">
        <f t="shared" si="3"/>
        <v>14.413725000000001</v>
      </c>
      <c r="N42" s="40">
        <f t="shared" si="4"/>
        <v>3.78</v>
      </c>
      <c r="O42" s="40">
        <f t="shared" si="5"/>
        <v>0.57540000000000002</v>
      </c>
      <c r="P42" s="40">
        <f t="shared" si="6"/>
        <v>0.33333333333333331</v>
      </c>
      <c r="Q42" s="40">
        <f t="shared" si="7"/>
        <v>6.1335000000000006</v>
      </c>
      <c r="R42" s="39">
        <f t="shared" si="8"/>
        <v>0.61335000000000006</v>
      </c>
      <c r="S42" s="36">
        <f t="shared" si="9"/>
        <v>10</v>
      </c>
      <c r="T42" s="40">
        <f t="shared" si="10"/>
        <v>21.435583333333334</v>
      </c>
      <c r="U42" s="40">
        <f t="shared" si="11"/>
        <v>35.849308333333333</v>
      </c>
    </row>
    <row r="43" spans="1:21" ht="20.100000000000001" customHeight="1" x14ac:dyDescent="0.25">
      <c r="A43" s="35">
        <f t="shared" si="12"/>
        <v>38</v>
      </c>
      <c r="B43" s="36">
        <v>3</v>
      </c>
      <c r="C43" s="42" t="s">
        <v>504</v>
      </c>
      <c r="D43" s="36">
        <v>120</v>
      </c>
      <c r="E43" s="38">
        <v>69737</v>
      </c>
      <c r="F43" s="41">
        <v>69737</v>
      </c>
      <c r="G43" s="38">
        <v>10</v>
      </c>
      <c r="H43" s="36">
        <v>10</v>
      </c>
      <c r="I43" s="36">
        <v>500</v>
      </c>
      <c r="J43" s="39">
        <f t="shared" si="0"/>
        <v>12.552660000000001</v>
      </c>
      <c r="K43" s="39">
        <f t="shared" si="1"/>
        <v>2.3013210000000006</v>
      </c>
      <c r="L43" s="39">
        <f t="shared" si="2"/>
        <v>1.5342140000000004</v>
      </c>
      <c r="M43" s="40">
        <f t="shared" si="3"/>
        <v>16.388195000000003</v>
      </c>
      <c r="N43" s="40">
        <f t="shared" si="4"/>
        <v>4.32</v>
      </c>
      <c r="O43" s="40">
        <f t="shared" si="5"/>
        <v>0.65760000000000007</v>
      </c>
      <c r="P43" s="40">
        <f t="shared" si="6"/>
        <v>0.33333333333333331</v>
      </c>
      <c r="Q43" s="40">
        <f t="shared" si="7"/>
        <v>6.9737</v>
      </c>
      <c r="R43" s="39">
        <f t="shared" si="8"/>
        <v>0.69736999999999993</v>
      </c>
      <c r="S43" s="36">
        <f t="shared" si="9"/>
        <v>10</v>
      </c>
      <c r="T43" s="40">
        <f t="shared" si="10"/>
        <v>22.982003333333331</v>
      </c>
      <c r="U43" s="40">
        <f t="shared" si="11"/>
        <v>39.370198333333335</v>
      </c>
    </row>
    <row r="44" spans="1:21" ht="20.100000000000001" customHeight="1" x14ac:dyDescent="0.25">
      <c r="A44" s="35">
        <f t="shared" si="12"/>
        <v>39</v>
      </c>
      <c r="B44" s="36">
        <v>3</v>
      </c>
      <c r="C44" s="42" t="s">
        <v>504</v>
      </c>
      <c r="D44" s="36">
        <v>140</v>
      </c>
      <c r="E44" s="38">
        <v>80660</v>
      </c>
      <c r="F44" s="41">
        <v>80660</v>
      </c>
      <c r="G44" s="38">
        <v>10</v>
      </c>
      <c r="H44" s="36">
        <v>10</v>
      </c>
      <c r="I44" s="36">
        <v>500</v>
      </c>
      <c r="J44" s="39">
        <f t="shared" si="0"/>
        <v>14.518800000000001</v>
      </c>
      <c r="K44" s="39">
        <f t="shared" si="1"/>
        <v>2.6617799999999998</v>
      </c>
      <c r="L44" s="39">
        <f t="shared" si="2"/>
        <v>1.7745200000000001</v>
      </c>
      <c r="M44" s="40">
        <f t="shared" si="3"/>
        <v>18.955099999999998</v>
      </c>
      <c r="N44" s="40">
        <f t="shared" si="4"/>
        <v>5.04</v>
      </c>
      <c r="O44" s="40">
        <f t="shared" si="5"/>
        <v>0.7672000000000001</v>
      </c>
      <c r="P44" s="40">
        <f t="shared" si="6"/>
        <v>0.33333333333333331</v>
      </c>
      <c r="Q44" s="40">
        <f t="shared" si="7"/>
        <v>8.0660000000000007</v>
      </c>
      <c r="R44" s="39">
        <f t="shared" si="8"/>
        <v>0.80660000000000009</v>
      </c>
      <c r="S44" s="36">
        <f t="shared" si="9"/>
        <v>10</v>
      </c>
      <c r="T44" s="40">
        <f t="shared" si="10"/>
        <v>25.013133333333332</v>
      </c>
      <c r="U44" s="40">
        <f t="shared" si="11"/>
        <v>43.96823333333333</v>
      </c>
    </row>
    <row r="45" spans="1:21" ht="20.100000000000001" customHeight="1" x14ac:dyDescent="0.25">
      <c r="A45" s="35">
        <f t="shared" si="12"/>
        <v>40</v>
      </c>
      <c r="B45" s="36">
        <v>3</v>
      </c>
      <c r="C45" s="42" t="s">
        <v>504</v>
      </c>
      <c r="D45" s="36">
        <v>160</v>
      </c>
      <c r="E45" s="38">
        <v>92003</v>
      </c>
      <c r="F45" s="41">
        <v>92003</v>
      </c>
      <c r="G45" s="38">
        <v>10</v>
      </c>
      <c r="H45" s="36">
        <v>10</v>
      </c>
      <c r="I45" s="36">
        <v>400</v>
      </c>
      <c r="J45" s="39">
        <f t="shared" si="0"/>
        <v>20.700675</v>
      </c>
      <c r="K45" s="39">
        <f t="shared" si="1"/>
        <v>3.7951237500000001</v>
      </c>
      <c r="L45" s="39">
        <f t="shared" si="2"/>
        <v>2.5300825000000002</v>
      </c>
      <c r="M45" s="40">
        <f t="shared" si="3"/>
        <v>27.025881249999998</v>
      </c>
      <c r="N45" s="40">
        <f t="shared" si="4"/>
        <v>5.76</v>
      </c>
      <c r="O45" s="40">
        <f t="shared" si="5"/>
        <v>0.87680000000000013</v>
      </c>
      <c r="P45" s="40">
        <f t="shared" si="6"/>
        <v>0.33333333333333331</v>
      </c>
      <c r="Q45" s="40">
        <f t="shared" si="7"/>
        <v>9.2003000000000004</v>
      </c>
      <c r="R45" s="39">
        <f t="shared" si="8"/>
        <v>0.92003000000000001</v>
      </c>
      <c r="S45" s="36">
        <f t="shared" si="9"/>
        <v>10</v>
      </c>
      <c r="T45" s="40">
        <f t="shared" si="10"/>
        <v>27.090463333333336</v>
      </c>
      <c r="U45" s="40">
        <f t="shared" si="11"/>
        <v>54.11634458333333</v>
      </c>
    </row>
    <row r="46" spans="1:21" ht="20.100000000000001" customHeight="1" x14ac:dyDescent="0.25"/>
    <row r="47" spans="1:21" ht="20.100000000000001" customHeight="1" x14ac:dyDescent="0.25"/>
    <row r="48" spans="1:21" ht="20.100000000000001" customHeight="1" x14ac:dyDescent="0.25"/>
    <row r="49" ht="20.100000000000001" customHeight="1" x14ac:dyDescent="0.25"/>
    <row r="50" ht="20.100000000000001" customHeight="1" x14ac:dyDescent="0.25"/>
  </sheetData>
  <mergeCells count="3">
    <mergeCell ref="A1:A5"/>
    <mergeCell ref="B1:B5"/>
    <mergeCell ref="C1:G2"/>
  </mergeCells>
  <hyperlinks>
    <hyperlink ref="C3" location="Indice!A1" display="Índice"/>
  </hyperlinks>
  <pageMargins left="0.7" right="0.7" top="0.75" bottom="0.75" header="0.3" footer="0.3"/>
  <pageSetup fitToWidth="0" fitToHeight="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7"/>
  <sheetViews>
    <sheetView zoomScaleSheetLayoutView="100" workbookViewId="0">
      <pane ySplit="3" topLeftCell="A220" activePane="bottomLeft" state="frozen"/>
      <selection pane="bottomLeft" activeCell="Q247" sqref="Q247"/>
    </sheetView>
  </sheetViews>
  <sheetFormatPr defaultColWidth="8" defaultRowHeight="13.2" x14ac:dyDescent="0.25"/>
  <cols>
    <col min="1" max="1" width="5.109375" customWidth="1"/>
    <col min="2" max="2" width="4.33203125" customWidth="1"/>
    <col min="3" max="3" width="41" customWidth="1"/>
    <col min="4" max="4" width="13.6640625" customWidth="1"/>
    <col min="5" max="5" width="8.44140625" customWidth="1"/>
    <col min="6" max="6" width="8" customWidth="1"/>
    <col min="7" max="7" width="7.33203125" customWidth="1"/>
    <col min="8" max="8" width="6.88671875" customWidth="1"/>
    <col min="9" max="10" width="9.33203125" customWidth="1"/>
    <col min="11" max="14" width="10.6640625" customWidth="1"/>
  </cols>
  <sheetData>
    <row r="1" spans="1:14" ht="13.8" x14ac:dyDescent="0.25">
      <c r="A1" s="366" t="s">
        <v>415</v>
      </c>
      <c r="B1" s="366" t="s">
        <v>195</v>
      </c>
      <c r="C1" s="368" t="s">
        <v>217</v>
      </c>
      <c r="D1" s="295" t="s">
        <v>869</v>
      </c>
      <c r="E1" s="36"/>
      <c r="F1" s="36"/>
      <c r="G1" s="36"/>
      <c r="H1" s="36"/>
      <c r="I1" s="23" t="s">
        <v>526</v>
      </c>
      <c r="J1" s="56">
        <v>5</v>
      </c>
      <c r="K1" s="23" t="s">
        <v>527</v>
      </c>
      <c r="L1" s="56">
        <f>+[1]IHERA_Trat!J2</f>
        <v>3</v>
      </c>
      <c r="M1" s="23"/>
      <c r="N1" s="57"/>
    </row>
    <row r="2" spans="1:14" x14ac:dyDescent="0.25">
      <c r="A2" s="367"/>
      <c r="B2" s="343"/>
      <c r="C2" s="369"/>
      <c r="D2" s="30" t="s">
        <v>218</v>
      </c>
      <c r="E2" s="31" t="s">
        <v>528</v>
      </c>
      <c r="F2" s="32" t="s">
        <v>529</v>
      </c>
      <c r="G2" s="31" t="s">
        <v>530</v>
      </c>
      <c r="H2" s="30" t="s">
        <v>531</v>
      </c>
      <c r="I2" s="30" t="s">
        <v>148</v>
      </c>
      <c r="J2" s="58" t="s">
        <v>532</v>
      </c>
      <c r="K2" s="34" t="s">
        <v>533</v>
      </c>
      <c r="L2" s="34" t="s">
        <v>498</v>
      </c>
      <c r="M2" s="34" t="s">
        <v>534</v>
      </c>
      <c r="N2" s="34" t="s">
        <v>203</v>
      </c>
    </row>
    <row r="3" spans="1:14" x14ac:dyDescent="0.25">
      <c r="A3" s="367"/>
      <c r="B3" s="343"/>
      <c r="C3" s="369"/>
      <c r="D3" s="30"/>
      <c r="E3" s="59" t="s">
        <v>205</v>
      </c>
      <c r="F3" s="34" t="s">
        <v>205</v>
      </c>
      <c r="G3" s="31" t="s">
        <v>206</v>
      </c>
      <c r="H3" s="30" t="s">
        <v>206</v>
      </c>
      <c r="I3" s="30" t="s">
        <v>501</v>
      </c>
      <c r="J3" s="58" t="s">
        <v>212</v>
      </c>
      <c r="K3" s="34" t="s">
        <v>208</v>
      </c>
      <c r="L3" s="34" t="s">
        <v>208</v>
      </c>
      <c r="M3" s="34" t="s">
        <v>208</v>
      </c>
      <c r="N3" s="34" t="s">
        <v>208</v>
      </c>
    </row>
    <row r="4" spans="1:14" x14ac:dyDescent="0.25">
      <c r="A4" s="35">
        <v>1</v>
      </c>
      <c r="B4" s="36">
        <v>4</v>
      </c>
      <c r="C4" s="42" t="s">
        <v>219</v>
      </c>
      <c r="D4" s="36" t="s">
        <v>220</v>
      </c>
      <c r="E4" s="38">
        <v>9040</v>
      </c>
      <c r="F4" s="36">
        <v>9040</v>
      </c>
      <c r="G4" s="38">
        <v>10</v>
      </c>
      <c r="H4" s="36">
        <v>10</v>
      </c>
      <c r="I4" s="36">
        <v>100</v>
      </c>
      <c r="J4" s="60">
        <v>0.03</v>
      </c>
      <c r="K4" s="40">
        <f>+F4/(H4*I4)</f>
        <v>9.0399999999999991</v>
      </c>
      <c r="L4" s="40">
        <f t="shared" ref="L4:L67" si="0">+(F4/I4)*($L$1/100)</f>
        <v>2.7120000000000002</v>
      </c>
      <c r="M4" s="40">
        <f t="shared" ref="M4:M67" si="1">+F4*J4/100</f>
        <v>2.7119999999999997</v>
      </c>
      <c r="N4" s="40">
        <f>+K4+L4+M4</f>
        <v>14.463999999999999</v>
      </c>
    </row>
    <row r="5" spans="1:14" x14ac:dyDescent="0.25">
      <c r="A5" s="35">
        <f>+A4+1</f>
        <v>2</v>
      </c>
      <c r="B5" s="36">
        <v>5</v>
      </c>
      <c r="C5" s="42" t="s">
        <v>221</v>
      </c>
      <c r="D5" s="36" t="s">
        <v>222</v>
      </c>
      <c r="E5" s="38">
        <v>6816</v>
      </c>
      <c r="F5" s="36">
        <v>6816</v>
      </c>
      <c r="G5" s="38">
        <v>10</v>
      </c>
      <c r="H5" s="36">
        <v>10</v>
      </c>
      <c r="I5" s="36">
        <v>100</v>
      </c>
      <c r="J5" s="60">
        <v>0.03</v>
      </c>
      <c r="K5" s="40">
        <f t="shared" ref="K5:K68" si="2">+F5/(H5*I5)</f>
        <v>6.8159999999999998</v>
      </c>
      <c r="L5" s="40">
        <f t="shared" si="0"/>
        <v>2.0448</v>
      </c>
      <c r="M5" s="40">
        <f t="shared" si="1"/>
        <v>2.0448</v>
      </c>
      <c r="N5" s="40">
        <f>+K5+L5+M5</f>
        <v>10.9056</v>
      </c>
    </row>
    <row r="6" spans="1:14" x14ac:dyDescent="0.25">
      <c r="A6" s="35">
        <f t="shared" ref="A6:A69" si="3">+A5+1</f>
        <v>3</v>
      </c>
      <c r="B6" s="36">
        <v>5</v>
      </c>
      <c r="C6" s="42" t="s">
        <v>221</v>
      </c>
      <c r="D6" s="36" t="s">
        <v>223</v>
      </c>
      <c r="E6" s="38">
        <v>9597</v>
      </c>
      <c r="F6" s="36">
        <v>9597</v>
      </c>
      <c r="G6" s="38">
        <v>10</v>
      </c>
      <c r="H6" s="36">
        <v>10</v>
      </c>
      <c r="I6" s="36">
        <v>100</v>
      </c>
      <c r="J6" s="60">
        <v>0.03</v>
      </c>
      <c r="K6" s="40">
        <f t="shared" si="2"/>
        <v>9.5969999999999995</v>
      </c>
      <c r="L6" s="40">
        <f t="shared" si="0"/>
        <v>2.8790999999999998</v>
      </c>
      <c r="M6" s="40">
        <f t="shared" si="1"/>
        <v>2.8790999999999998</v>
      </c>
      <c r="N6" s="40">
        <f t="shared" ref="N6:N69" si="4">+K6+L6+M6</f>
        <v>15.355199999999998</v>
      </c>
    </row>
    <row r="7" spans="1:14" x14ac:dyDescent="0.25">
      <c r="A7" s="35">
        <f t="shared" si="3"/>
        <v>4</v>
      </c>
      <c r="B7" s="36">
        <v>6</v>
      </c>
      <c r="C7" s="42" t="s">
        <v>224</v>
      </c>
      <c r="D7" s="36" t="s">
        <v>225</v>
      </c>
      <c r="E7" s="38">
        <v>4936</v>
      </c>
      <c r="F7" s="36">
        <v>4936</v>
      </c>
      <c r="G7" s="38">
        <v>10</v>
      </c>
      <c r="H7" s="36">
        <v>10</v>
      </c>
      <c r="I7" s="36">
        <v>100</v>
      </c>
      <c r="J7" s="60">
        <v>0.03</v>
      </c>
      <c r="K7" s="40">
        <f t="shared" si="2"/>
        <v>4.9359999999999999</v>
      </c>
      <c r="L7" s="40">
        <f t="shared" si="0"/>
        <v>1.4807999999999999</v>
      </c>
      <c r="M7" s="40">
        <f t="shared" si="1"/>
        <v>1.4807999999999999</v>
      </c>
      <c r="N7" s="40">
        <f t="shared" si="4"/>
        <v>7.8976000000000006</v>
      </c>
    </row>
    <row r="8" spans="1:14" x14ac:dyDescent="0.25">
      <c r="A8" s="35">
        <f t="shared" si="3"/>
        <v>5</v>
      </c>
      <c r="B8" s="36">
        <v>6</v>
      </c>
      <c r="C8" s="42" t="s">
        <v>224</v>
      </c>
      <c r="D8" s="36" t="s">
        <v>226</v>
      </c>
      <c r="E8" s="38">
        <v>5639</v>
      </c>
      <c r="F8" s="36">
        <v>5639</v>
      </c>
      <c r="G8" s="38">
        <v>10</v>
      </c>
      <c r="H8" s="36">
        <v>10</v>
      </c>
      <c r="I8" s="36">
        <v>100</v>
      </c>
      <c r="J8" s="60">
        <v>0.03</v>
      </c>
      <c r="K8" s="40">
        <f t="shared" si="2"/>
        <v>5.6390000000000002</v>
      </c>
      <c r="L8" s="40">
        <f t="shared" si="0"/>
        <v>1.6917</v>
      </c>
      <c r="M8" s="40">
        <f t="shared" si="1"/>
        <v>1.6917</v>
      </c>
      <c r="N8" s="40">
        <f t="shared" si="4"/>
        <v>9.0224000000000011</v>
      </c>
    </row>
    <row r="9" spans="1:14" x14ac:dyDescent="0.25">
      <c r="A9" s="35">
        <f t="shared" si="3"/>
        <v>6</v>
      </c>
      <c r="B9" s="36">
        <v>7</v>
      </c>
      <c r="C9" s="42" t="s">
        <v>227</v>
      </c>
      <c r="D9" s="36" t="s">
        <v>228</v>
      </c>
      <c r="E9" s="38">
        <v>1797</v>
      </c>
      <c r="F9" s="36">
        <v>1797</v>
      </c>
      <c r="G9" s="38">
        <v>10</v>
      </c>
      <c r="H9" s="36">
        <v>10</v>
      </c>
      <c r="I9" s="36">
        <v>100</v>
      </c>
      <c r="J9" s="60">
        <v>0.2</v>
      </c>
      <c r="K9" s="40">
        <f t="shared" si="2"/>
        <v>1.7969999999999999</v>
      </c>
      <c r="L9" s="40">
        <f t="shared" si="0"/>
        <v>0.53909999999999991</v>
      </c>
      <c r="M9" s="40">
        <f t="shared" si="1"/>
        <v>3.5940000000000003</v>
      </c>
      <c r="N9" s="40">
        <f t="shared" si="4"/>
        <v>5.9301000000000004</v>
      </c>
    </row>
    <row r="10" spans="1:14" x14ac:dyDescent="0.25">
      <c r="A10" s="35">
        <f t="shared" si="3"/>
        <v>7</v>
      </c>
      <c r="B10" s="36">
        <v>7</v>
      </c>
      <c r="C10" s="42" t="s">
        <v>227</v>
      </c>
      <c r="D10" s="36" t="s">
        <v>229</v>
      </c>
      <c r="E10" s="38">
        <v>2005</v>
      </c>
      <c r="F10" s="36">
        <v>2005</v>
      </c>
      <c r="G10" s="38">
        <v>10</v>
      </c>
      <c r="H10" s="36">
        <v>10</v>
      </c>
      <c r="I10" s="36">
        <v>100</v>
      </c>
      <c r="J10" s="60">
        <v>0.2</v>
      </c>
      <c r="K10" s="40">
        <f t="shared" si="2"/>
        <v>2.0049999999999999</v>
      </c>
      <c r="L10" s="40">
        <f t="shared" si="0"/>
        <v>0.60150000000000003</v>
      </c>
      <c r="M10" s="40">
        <f t="shared" si="1"/>
        <v>4.01</v>
      </c>
      <c r="N10" s="40">
        <f t="shared" si="4"/>
        <v>6.6165000000000003</v>
      </c>
    </row>
    <row r="11" spans="1:14" x14ac:dyDescent="0.25">
      <c r="A11" s="35">
        <f t="shared" si="3"/>
        <v>8</v>
      </c>
      <c r="B11" s="36">
        <v>7</v>
      </c>
      <c r="C11" s="42" t="s">
        <v>227</v>
      </c>
      <c r="D11" s="36" t="s">
        <v>230</v>
      </c>
      <c r="E11" s="38">
        <v>2218</v>
      </c>
      <c r="F11" s="36">
        <v>2218</v>
      </c>
      <c r="G11" s="38">
        <v>10</v>
      </c>
      <c r="H11" s="36">
        <v>10</v>
      </c>
      <c r="I11" s="36">
        <v>100</v>
      </c>
      <c r="J11" s="60">
        <v>0.2</v>
      </c>
      <c r="K11" s="40">
        <f t="shared" si="2"/>
        <v>2.218</v>
      </c>
      <c r="L11" s="40">
        <f t="shared" si="0"/>
        <v>0.66539999999999999</v>
      </c>
      <c r="M11" s="40">
        <f t="shared" si="1"/>
        <v>4.4359999999999999</v>
      </c>
      <c r="N11" s="40">
        <f t="shared" si="4"/>
        <v>7.3193999999999999</v>
      </c>
    </row>
    <row r="12" spans="1:14" x14ac:dyDescent="0.25">
      <c r="A12" s="35">
        <f t="shared" si="3"/>
        <v>9</v>
      </c>
      <c r="B12" s="36">
        <v>7</v>
      </c>
      <c r="C12" s="42" t="s">
        <v>227</v>
      </c>
      <c r="D12" s="36" t="s">
        <v>231</v>
      </c>
      <c r="E12" s="38">
        <v>2431</v>
      </c>
      <c r="F12" s="36">
        <v>2431</v>
      </c>
      <c r="G12" s="38">
        <v>10</v>
      </c>
      <c r="H12" s="36">
        <v>10</v>
      </c>
      <c r="I12" s="36">
        <v>100</v>
      </c>
      <c r="J12" s="60">
        <v>0.2</v>
      </c>
      <c r="K12" s="40">
        <f t="shared" si="2"/>
        <v>2.431</v>
      </c>
      <c r="L12" s="40">
        <f t="shared" si="0"/>
        <v>0.72929999999999995</v>
      </c>
      <c r="M12" s="40">
        <f t="shared" si="1"/>
        <v>4.8620000000000001</v>
      </c>
      <c r="N12" s="40">
        <f t="shared" si="4"/>
        <v>8.0222999999999995</v>
      </c>
    </row>
    <row r="13" spans="1:14" x14ac:dyDescent="0.25">
      <c r="A13" s="35">
        <f t="shared" si="3"/>
        <v>10</v>
      </c>
      <c r="B13" s="36">
        <v>7</v>
      </c>
      <c r="C13" s="42" t="s">
        <v>227</v>
      </c>
      <c r="D13" s="36" t="s">
        <v>232</v>
      </c>
      <c r="E13" s="38">
        <v>2643</v>
      </c>
      <c r="F13" s="36">
        <v>2643</v>
      </c>
      <c r="G13" s="38">
        <v>10</v>
      </c>
      <c r="H13" s="36">
        <v>10</v>
      </c>
      <c r="I13" s="36">
        <v>100</v>
      </c>
      <c r="J13" s="60">
        <v>0.2</v>
      </c>
      <c r="K13" s="40">
        <f t="shared" si="2"/>
        <v>2.6429999999999998</v>
      </c>
      <c r="L13" s="40">
        <f t="shared" si="0"/>
        <v>0.79289999999999994</v>
      </c>
      <c r="M13" s="40">
        <f t="shared" si="1"/>
        <v>5.2860000000000005</v>
      </c>
      <c r="N13" s="40">
        <f t="shared" si="4"/>
        <v>8.7218999999999998</v>
      </c>
    </row>
    <row r="14" spans="1:14" x14ac:dyDescent="0.25">
      <c r="A14" s="35">
        <f t="shared" si="3"/>
        <v>11</v>
      </c>
      <c r="B14" s="36">
        <v>7</v>
      </c>
      <c r="C14" s="42" t="s">
        <v>227</v>
      </c>
      <c r="D14" s="36" t="s">
        <v>233</v>
      </c>
      <c r="E14" s="38">
        <v>2960</v>
      </c>
      <c r="F14" s="36">
        <v>2960</v>
      </c>
      <c r="G14" s="38">
        <v>10</v>
      </c>
      <c r="H14" s="36">
        <v>10</v>
      </c>
      <c r="I14" s="36">
        <v>100</v>
      </c>
      <c r="J14" s="60">
        <v>0.2</v>
      </c>
      <c r="K14" s="40">
        <f t="shared" si="2"/>
        <v>2.96</v>
      </c>
      <c r="L14" s="40">
        <f t="shared" si="0"/>
        <v>0.88800000000000001</v>
      </c>
      <c r="M14" s="40">
        <f t="shared" si="1"/>
        <v>5.92</v>
      </c>
      <c r="N14" s="40">
        <f t="shared" si="4"/>
        <v>9.7680000000000007</v>
      </c>
    </row>
    <row r="15" spans="1:14" x14ac:dyDescent="0.25">
      <c r="A15" s="35">
        <f t="shared" si="3"/>
        <v>12</v>
      </c>
      <c r="B15" s="36">
        <v>8</v>
      </c>
      <c r="C15" s="42" t="s">
        <v>535</v>
      </c>
      <c r="D15" s="36" t="s">
        <v>234</v>
      </c>
      <c r="E15" s="38">
        <v>16658</v>
      </c>
      <c r="F15" s="36">
        <v>16658</v>
      </c>
      <c r="G15" s="38">
        <v>10</v>
      </c>
      <c r="H15" s="36">
        <v>10</v>
      </c>
      <c r="I15" s="36">
        <v>100</v>
      </c>
      <c r="J15" s="60">
        <v>0.03</v>
      </c>
      <c r="K15" s="40">
        <f t="shared" si="2"/>
        <v>16.658000000000001</v>
      </c>
      <c r="L15" s="40">
        <f t="shared" si="0"/>
        <v>4.9973999999999998</v>
      </c>
      <c r="M15" s="40">
        <f t="shared" si="1"/>
        <v>4.9973999999999998</v>
      </c>
      <c r="N15" s="40">
        <f t="shared" si="4"/>
        <v>26.652799999999999</v>
      </c>
    </row>
    <row r="16" spans="1:14" x14ac:dyDescent="0.25">
      <c r="A16" s="35">
        <f t="shared" si="3"/>
        <v>13</v>
      </c>
      <c r="B16" s="36">
        <v>9</v>
      </c>
      <c r="C16" s="42" t="s">
        <v>536</v>
      </c>
      <c r="D16" s="36" t="s">
        <v>235</v>
      </c>
      <c r="E16" s="38">
        <v>12815</v>
      </c>
      <c r="F16" s="36">
        <v>12815</v>
      </c>
      <c r="G16" s="38">
        <v>10</v>
      </c>
      <c r="H16" s="36">
        <v>10</v>
      </c>
      <c r="I16" s="36">
        <v>100</v>
      </c>
      <c r="J16" s="60">
        <v>0.04</v>
      </c>
      <c r="K16" s="40">
        <f t="shared" si="2"/>
        <v>12.815</v>
      </c>
      <c r="L16" s="40">
        <f t="shared" si="0"/>
        <v>3.8445</v>
      </c>
      <c r="M16" s="40">
        <f t="shared" si="1"/>
        <v>5.1260000000000003</v>
      </c>
      <c r="N16" s="40">
        <f t="shared" si="4"/>
        <v>21.785500000000003</v>
      </c>
    </row>
    <row r="17" spans="1:14" x14ac:dyDescent="0.25">
      <c r="A17" s="35">
        <f t="shared" si="3"/>
        <v>14</v>
      </c>
      <c r="B17" s="36">
        <v>10</v>
      </c>
      <c r="C17" s="42" t="s">
        <v>537</v>
      </c>
      <c r="D17" s="36" t="s">
        <v>236</v>
      </c>
      <c r="E17" s="38">
        <v>6091</v>
      </c>
      <c r="F17" s="36">
        <v>6091</v>
      </c>
      <c r="G17" s="38">
        <v>10</v>
      </c>
      <c r="H17" s="36">
        <v>10</v>
      </c>
      <c r="I17" s="36">
        <v>100</v>
      </c>
      <c r="J17" s="60">
        <v>0.04</v>
      </c>
      <c r="K17" s="40">
        <f t="shared" si="2"/>
        <v>6.0910000000000002</v>
      </c>
      <c r="L17" s="40">
        <f t="shared" si="0"/>
        <v>1.8272999999999999</v>
      </c>
      <c r="M17" s="40">
        <f t="shared" si="1"/>
        <v>2.4364000000000003</v>
      </c>
      <c r="N17" s="40">
        <f t="shared" si="4"/>
        <v>10.354700000000001</v>
      </c>
    </row>
    <row r="18" spans="1:14" x14ac:dyDescent="0.25">
      <c r="A18" s="35">
        <f t="shared" si="3"/>
        <v>15</v>
      </c>
      <c r="B18" s="36">
        <v>10</v>
      </c>
      <c r="C18" s="42" t="s">
        <v>537</v>
      </c>
      <c r="D18" s="36" t="s">
        <v>237</v>
      </c>
      <c r="E18" s="38">
        <v>7608</v>
      </c>
      <c r="F18" s="36">
        <v>7608</v>
      </c>
      <c r="G18" s="38">
        <v>10</v>
      </c>
      <c r="H18" s="36">
        <v>10</v>
      </c>
      <c r="I18" s="36">
        <v>100</v>
      </c>
      <c r="J18" s="60">
        <v>0.04</v>
      </c>
      <c r="K18" s="40">
        <f t="shared" si="2"/>
        <v>7.6079999999999997</v>
      </c>
      <c r="L18" s="40">
        <f t="shared" si="0"/>
        <v>2.2824</v>
      </c>
      <c r="M18" s="40">
        <f t="shared" si="1"/>
        <v>3.0432000000000001</v>
      </c>
      <c r="N18" s="40">
        <f t="shared" si="4"/>
        <v>12.9336</v>
      </c>
    </row>
    <row r="19" spans="1:14" x14ac:dyDescent="0.25">
      <c r="A19" s="35">
        <f t="shared" si="3"/>
        <v>16</v>
      </c>
      <c r="B19" s="36">
        <v>11</v>
      </c>
      <c r="C19" s="42" t="s">
        <v>538</v>
      </c>
      <c r="D19" s="36" t="s">
        <v>238</v>
      </c>
      <c r="E19" s="38">
        <v>10723</v>
      </c>
      <c r="F19" s="36">
        <v>10723</v>
      </c>
      <c r="G19" s="38">
        <v>10</v>
      </c>
      <c r="H19" s="36">
        <v>10</v>
      </c>
      <c r="I19" s="36">
        <v>100</v>
      </c>
      <c r="J19" s="60">
        <v>0.04</v>
      </c>
      <c r="K19" s="40">
        <f t="shared" si="2"/>
        <v>10.723000000000001</v>
      </c>
      <c r="L19" s="40">
        <f t="shared" si="0"/>
        <v>3.2168999999999999</v>
      </c>
      <c r="M19" s="40">
        <f t="shared" si="1"/>
        <v>4.2892000000000001</v>
      </c>
      <c r="N19" s="40">
        <f t="shared" si="4"/>
        <v>18.229100000000003</v>
      </c>
    </row>
    <row r="20" spans="1:14" x14ac:dyDescent="0.25">
      <c r="A20" s="35">
        <f t="shared" si="3"/>
        <v>17</v>
      </c>
      <c r="B20" s="36">
        <v>11</v>
      </c>
      <c r="C20" s="42" t="s">
        <v>538</v>
      </c>
      <c r="D20" s="36" t="s">
        <v>239</v>
      </c>
      <c r="E20" s="38">
        <v>13403</v>
      </c>
      <c r="F20" s="36">
        <v>13403</v>
      </c>
      <c r="G20" s="38">
        <v>10</v>
      </c>
      <c r="H20" s="36">
        <v>10</v>
      </c>
      <c r="I20" s="36">
        <v>100</v>
      </c>
      <c r="J20" s="60">
        <v>0.04</v>
      </c>
      <c r="K20" s="40">
        <f t="shared" si="2"/>
        <v>13.403</v>
      </c>
      <c r="L20" s="40">
        <f t="shared" si="0"/>
        <v>4.0209000000000001</v>
      </c>
      <c r="M20" s="40">
        <f t="shared" si="1"/>
        <v>5.3612000000000002</v>
      </c>
      <c r="N20" s="40">
        <f t="shared" si="4"/>
        <v>22.7851</v>
      </c>
    </row>
    <row r="21" spans="1:14" x14ac:dyDescent="0.25">
      <c r="A21" s="35">
        <f t="shared" si="3"/>
        <v>18</v>
      </c>
      <c r="B21" s="36">
        <v>12</v>
      </c>
      <c r="C21" s="42" t="s">
        <v>539</v>
      </c>
      <c r="D21" s="36" t="s">
        <v>240</v>
      </c>
      <c r="E21" s="38">
        <v>1380</v>
      </c>
      <c r="F21" s="36">
        <v>1380</v>
      </c>
      <c r="G21" s="38">
        <v>10</v>
      </c>
      <c r="H21" s="36">
        <v>10</v>
      </c>
      <c r="I21" s="36">
        <v>100</v>
      </c>
      <c r="J21" s="60">
        <v>7.0000000000000007E-2</v>
      </c>
      <c r="K21" s="40">
        <f t="shared" si="2"/>
        <v>1.38</v>
      </c>
      <c r="L21" s="40">
        <f t="shared" si="0"/>
        <v>0.41399999999999998</v>
      </c>
      <c r="M21" s="40">
        <f t="shared" si="1"/>
        <v>0.96600000000000008</v>
      </c>
      <c r="N21" s="40">
        <f t="shared" si="4"/>
        <v>2.76</v>
      </c>
    </row>
    <row r="22" spans="1:14" x14ac:dyDescent="0.25">
      <c r="A22" s="35">
        <f t="shared" si="3"/>
        <v>19</v>
      </c>
      <c r="B22" s="36">
        <v>12</v>
      </c>
      <c r="C22" s="42" t="s">
        <v>539</v>
      </c>
      <c r="D22" s="36" t="s">
        <v>241</v>
      </c>
      <c r="E22" s="38">
        <v>1613</v>
      </c>
      <c r="F22" s="36">
        <v>1600</v>
      </c>
      <c r="G22" s="38">
        <v>10</v>
      </c>
      <c r="H22" s="36">
        <v>10</v>
      </c>
      <c r="I22" s="36">
        <v>100</v>
      </c>
      <c r="J22" s="60">
        <v>7.0000000000000007E-2</v>
      </c>
      <c r="K22" s="40">
        <f t="shared" si="2"/>
        <v>1.6</v>
      </c>
      <c r="L22" s="40">
        <f t="shared" si="0"/>
        <v>0.48</v>
      </c>
      <c r="M22" s="40">
        <f t="shared" si="1"/>
        <v>1.1200000000000001</v>
      </c>
      <c r="N22" s="40">
        <f t="shared" si="4"/>
        <v>3.2</v>
      </c>
    </row>
    <row r="23" spans="1:14" x14ac:dyDescent="0.25">
      <c r="A23" s="35">
        <f t="shared" si="3"/>
        <v>20</v>
      </c>
      <c r="B23" s="36">
        <v>12</v>
      </c>
      <c r="C23" s="42" t="s">
        <v>539</v>
      </c>
      <c r="D23" s="36" t="s">
        <v>242</v>
      </c>
      <c r="E23" s="38">
        <v>1843</v>
      </c>
      <c r="F23" s="36">
        <v>1843</v>
      </c>
      <c r="G23" s="38">
        <v>10</v>
      </c>
      <c r="H23" s="36">
        <v>10</v>
      </c>
      <c r="I23" s="36">
        <v>100</v>
      </c>
      <c r="J23" s="60">
        <v>7.0000000000000007E-2</v>
      </c>
      <c r="K23" s="40">
        <f t="shared" si="2"/>
        <v>1.843</v>
      </c>
      <c r="L23" s="40">
        <f t="shared" si="0"/>
        <v>0.55289999999999995</v>
      </c>
      <c r="M23" s="40">
        <f t="shared" si="1"/>
        <v>1.2901000000000002</v>
      </c>
      <c r="N23" s="40">
        <f t="shared" si="4"/>
        <v>3.6860000000000004</v>
      </c>
    </row>
    <row r="24" spans="1:14" x14ac:dyDescent="0.25">
      <c r="A24" s="35">
        <f t="shared" si="3"/>
        <v>21</v>
      </c>
      <c r="B24" s="36">
        <v>12</v>
      </c>
      <c r="C24" s="42" t="s">
        <v>539</v>
      </c>
      <c r="D24" s="36" t="s">
        <v>243</v>
      </c>
      <c r="E24" s="38">
        <v>2072</v>
      </c>
      <c r="F24" s="36">
        <v>2072</v>
      </c>
      <c r="G24" s="38">
        <v>10</v>
      </c>
      <c r="H24" s="36">
        <v>10</v>
      </c>
      <c r="I24" s="36">
        <v>100</v>
      </c>
      <c r="J24" s="60">
        <v>7.0000000000000007E-2</v>
      </c>
      <c r="K24" s="40">
        <f t="shared" si="2"/>
        <v>2.0720000000000001</v>
      </c>
      <c r="L24" s="40">
        <f t="shared" si="0"/>
        <v>0.62159999999999993</v>
      </c>
      <c r="M24" s="40">
        <f t="shared" si="1"/>
        <v>1.4504000000000001</v>
      </c>
      <c r="N24" s="40">
        <f t="shared" si="4"/>
        <v>4.1440000000000001</v>
      </c>
    </row>
    <row r="25" spans="1:14" x14ac:dyDescent="0.25">
      <c r="A25" s="35">
        <f t="shared" si="3"/>
        <v>22</v>
      </c>
      <c r="B25" s="36">
        <v>12</v>
      </c>
      <c r="C25" s="42" t="s">
        <v>539</v>
      </c>
      <c r="D25" s="36" t="s">
        <v>244</v>
      </c>
      <c r="E25" s="38">
        <v>2301</v>
      </c>
      <c r="F25" s="36">
        <v>2301</v>
      </c>
      <c r="G25" s="38">
        <v>10</v>
      </c>
      <c r="H25" s="36">
        <v>10</v>
      </c>
      <c r="I25" s="36">
        <v>100</v>
      </c>
      <c r="J25" s="60">
        <v>7.0000000000000007E-2</v>
      </c>
      <c r="K25" s="40">
        <f t="shared" si="2"/>
        <v>2.3010000000000002</v>
      </c>
      <c r="L25" s="40">
        <f t="shared" si="0"/>
        <v>0.69030000000000002</v>
      </c>
      <c r="M25" s="40">
        <f t="shared" si="1"/>
        <v>1.6107000000000002</v>
      </c>
      <c r="N25" s="40">
        <f t="shared" si="4"/>
        <v>4.6020000000000003</v>
      </c>
    </row>
    <row r="26" spans="1:14" x14ac:dyDescent="0.25">
      <c r="A26" s="35">
        <f t="shared" si="3"/>
        <v>23</v>
      </c>
      <c r="B26" s="36">
        <v>13</v>
      </c>
      <c r="C26" s="42" t="s">
        <v>540</v>
      </c>
      <c r="D26" s="36" t="s">
        <v>245</v>
      </c>
      <c r="E26" s="38">
        <v>2389</v>
      </c>
      <c r="F26" s="36">
        <v>2389</v>
      </c>
      <c r="G26" s="38">
        <v>10</v>
      </c>
      <c r="H26" s="36">
        <v>10</v>
      </c>
      <c r="I26" s="36">
        <v>100</v>
      </c>
      <c r="J26" s="60">
        <v>7.0000000000000007E-2</v>
      </c>
      <c r="K26" s="40">
        <f t="shared" si="2"/>
        <v>2.3889999999999998</v>
      </c>
      <c r="L26" s="40">
        <f t="shared" si="0"/>
        <v>0.7167</v>
      </c>
      <c r="M26" s="40">
        <f t="shared" si="1"/>
        <v>1.6723000000000001</v>
      </c>
      <c r="N26" s="40">
        <f t="shared" si="4"/>
        <v>4.7779999999999996</v>
      </c>
    </row>
    <row r="27" spans="1:14" x14ac:dyDescent="0.25">
      <c r="A27" s="35">
        <f t="shared" si="3"/>
        <v>24</v>
      </c>
      <c r="B27" s="36">
        <v>13</v>
      </c>
      <c r="C27" s="42" t="s">
        <v>540</v>
      </c>
      <c r="D27" s="36" t="s">
        <v>246</v>
      </c>
      <c r="E27" s="38">
        <v>2576</v>
      </c>
      <c r="F27" s="36">
        <v>2570</v>
      </c>
      <c r="G27" s="38">
        <v>10</v>
      </c>
      <c r="H27" s="36">
        <v>10</v>
      </c>
      <c r="I27" s="36">
        <v>100</v>
      </c>
      <c r="J27" s="60">
        <v>7.0000000000000007E-2</v>
      </c>
      <c r="K27" s="40">
        <f t="shared" si="2"/>
        <v>2.57</v>
      </c>
      <c r="L27" s="40">
        <f t="shared" si="0"/>
        <v>0.77099999999999991</v>
      </c>
      <c r="M27" s="40">
        <f t="shared" si="1"/>
        <v>1.7990000000000002</v>
      </c>
      <c r="N27" s="40">
        <f t="shared" si="4"/>
        <v>5.14</v>
      </c>
    </row>
    <row r="28" spans="1:14" x14ac:dyDescent="0.25">
      <c r="A28" s="35">
        <f t="shared" si="3"/>
        <v>25</v>
      </c>
      <c r="B28" s="36">
        <v>14</v>
      </c>
      <c r="C28" s="42" t="s">
        <v>541</v>
      </c>
      <c r="D28" s="36" t="s">
        <v>247</v>
      </c>
      <c r="E28" s="38">
        <v>3844</v>
      </c>
      <c r="F28" s="36">
        <v>3844</v>
      </c>
      <c r="G28" s="38">
        <v>10</v>
      </c>
      <c r="H28" s="36">
        <v>10</v>
      </c>
      <c r="I28" s="36">
        <v>100</v>
      </c>
      <c r="J28" s="60">
        <v>7.0000000000000007E-2</v>
      </c>
      <c r="K28" s="40">
        <f t="shared" si="2"/>
        <v>3.8439999999999999</v>
      </c>
      <c r="L28" s="40">
        <f t="shared" si="0"/>
        <v>1.1531999999999998</v>
      </c>
      <c r="M28" s="40">
        <f t="shared" si="1"/>
        <v>2.6908000000000003</v>
      </c>
      <c r="N28" s="40">
        <f t="shared" si="4"/>
        <v>7.6879999999999997</v>
      </c>
    </row>
    <row r="29" spans="1:14" x14ac:dyDescent="0.25">
      <c r="A29" s="35">
        <f t="shared" si="3"/>
        <v>26</v>
      </c>
      <c r="B29" s="36">
        <v>14</v>
      </c>
      <c r="C29" s="42" t="s">
        <v>541</v>
      </c>
      <c r="D29" s="36" t="s">
        <v>248</v>
      </c>
      <c r="E29" s="38">
        <v>4152</v>
      </c>
      <c r="F29" s="36">
        <v>4152</v>
      </c>
      <c r="G29" s="38">
        <v>10</v>
      </c>
      <c r="H29" s="36">
        <v>10</v>
      </c>
      <c r="I29" s="36">
        <v>100</v>
      </c>
      <c r="J29" s="60">
        <v>0.7</v>
      </c>
      <c r="K29" s="40">
        <f t="shared" si="2"/>
        <v>4.1520000000000001</v>
      </c>
      <c r="L29" s="40">
        <f t="shared" si="0"/>
        <v>1.2456</v>
      </c>
      <c r="M29" s="40">
        <f t="shared" si="1"/>
        <v>29.063999999999997</v>
      </c>
      <c r="N29" s="40">
        <f t="shared" si="4"/>
        <v>34.461599999999997</v>
      </c>
    </row>
    <row r="30" spans="1:14" x14ac:dyDescent="0.25">
      <c r="A30" s="35">
        <f t="shared" si="3"/>
        <v>27</v>
      </c>
      <c r="B30" s="36">
        <v>14</v>
      </c>
      <c r="C30" s="42" t="s">
        <v>541</v>
      </c>
      <c r="D30" s="36" t="s">
        <v>249</v>
      </c>
      <c r="E30" s="38">
        <v>4461</v>
      </c>
      <c r="F30" s="36">
        <v>4461</v>
      </c>
      <c r="G30" s="38">
        <v>10</v>
      </c>
      <c r="H30" s="36">
        <v>10</v>
      </c>
      <c r="I30" s="36">
        <v>100</v>
      </c>
      <c r="J30" s="60">
        <v>7.0000000000000007E-2</v>
      </c>
      <c r="K30" s="40">
        <f t="shared" si="2"/>
        <v>4.4610000000000003</v>
      </c>
      <c r="L30" s="40">
        <f t="shared" si="0"/>
        <v>1.3382999999999998</v>
      </c>
      <c r="M30" s="40">
        <f t="shared" si="1"/>
        <v>3.1227000000000005</v>
      </c>
      <c r="N30" s="40">
        <f t="shared" si="4"/>
        <v>8.9220000000000006</v>
      </c>
    </row>
    <row r="31" spans="1:14" x14ac:dyDescent="0.25">
      <c r="A31" s="35">
        <f t="shared" si="3"/>
        <v>28</v>
      </c>
      <c r="B31" s="36">
        <v>14</v>
      </c>
      <c r="C31" s="42" t="s">
        <v>541</v>
      </c>
      <c r="D31" s="36" t="s">
        <v>250</v>
      </c>
      <c r="E31" s="38">
        <v>4919</v>
      </c>
      <c r="F31" s="36">
        <v>4919</v>
      </c>
      <c r="G31" s="38">
        <v>10</v>
      </c>
      <c r="H31" s="36">
        <v>10</v>
      </c>
      <c r="I31" s="36">
        <v>100</v>
      </c>
      <c r="J31" s="60">
        <v>7.0000000000000007E-2</v>
      </c>
      <c r="K31" s="40">
        <f t="shared" si="2"/>
        <v>4.9189999999999996</v>
      </c>
      <c r="L31" s="40">
        <f t="shared" si="0"/>
        <v>1.4756999999999998</v>
      </c>
      <c r="M31" s="40">
        <f t="shared" si="1"/>
        <v>3.4433000000000002</v>
      </c>
      <c r="N31" s="40">
        <f t="shared" si="4"/>
        <v>9.8379999999999992</v>
      </c>
    </row>
    <row r="32" spans="1:14" x14ac:dyDescent="0.25">
      <c r="A32" s="35">
        <f t="shared" si="3"/>
        <v>29</v>
      </c>
      <c r="B32" s="36">
        <v>14</v>
      </c>
      <c r="C32" s="42" t="s">
        <v>541</v>
      </c>
      <c r="D32" s="36" t="s">
        <v>251</v>
      </c>
      <c r="E32" s="38">
        <v>5378</v>
      </c>
      <c r="F32" s="36">
        <v>5378</v>
      </c>
      <c r="G32" s="38">
        <v>10</v>
      </c>
      <c r="H32" s="36">
        <v>10</v>
      </c>
      <c r="I32" s="36">
        <v>100</v>
      </c>
      <c r="J32" s="60">
        <v>7.0000000000000007E-2</v>
      </c>
      <c r="K32" s="40">
        <f t="shared" si="2"/>
        <v>5.3780000000000001</v>
      </c>
      <c r="L32" s="40">
        <f t="shared" si="0"/>
        <v>1.6133999999999999</v>
      </c>
      <c r="M32" s="40">
        <f t="shared" si="1"/>
        <v>3.7646000000000002</v>
      </c>
      <c r="N32" s="40">
        <f t="shared" si="4"/>
        <v>10.756</v>
      </c>
    </row>
    <row r="33" spans="1:14" x14ac:dyDescent="0.25">
      <c r="A33" s="35">
        <f t="shared" si="3"/>
        <v>30</v>
      </c>
      <c r="B33" s="36">
        <v>14</v>
      </c>
      <c r="C33" s="42" t="s">
        <v>541</v>
      </c>
      <c r="D33" s="36" t="s">
        <v>252</v>
      </c>
      <c r="E33" s="38">
        <v>6003</v>
      </c>
      <c r="F33" s="36">
        <v>6003</v>
      </c>
      <c r="G33" s="38">
        <v>10</v>
      </c>
      <c r="H33" s="36">
        <v>10</v>
      </c>
      <c r="I33" s="36">
        <v>100</v>
      </c>
      <c r="J33" s="60">
        <v>7.0000000000000007E-2</v>
      </c>
      <c r="K33" s="40">
        <f t="shared" si="2"/>
        <v>6.0030000000000001</v>
      </c>
      <c r="L33" s="40">
        <f t="shared" si="0"/>
        <v>1.8008999999999999</v>
      </c>
      <c r="M33" s="40">
        <f t="shared" si="1"/>
        <v>4.2021000000000006</v>
      </c>
      <c r="N33" s="40">
        <f t="shared" si="4"/>
        <v>12.006</v>
      </c>
    </row>
    <row r="34" spans="1:14" x14ac:dyDescent="0.25">
      <c r="A34" s="35">
        <f t="shared" si="3"/>
        <v>31</v>
      </c>
      <c r="B34" s="36">
        <v>14</v>
      </c>
      <c r="C34" s="42" t="s">
        <v>541</v>
      </c>
      <c r="D34" s="36" t="s">
        <v>253</v>
      </c>
      <c r="E34" s="38">
        <v>6629</v>
      </c>
      <c r="F34" s="36">
        <v>6629</v>
      </c>
      <c r="G34" s="38">
        <v>10</v>
      </c>
      <c r="H34" s="36">
        <v>10</v>
      </c>
      <c r="I34" s="36">
        <v>100</v>
      </c>
      <c r="J34" s="60">
        <v>7.0000000000000007E-2</v>
      </c>
      <c r="K34" s="40">
        <f t="shared" si="2"/>
        <v>6.6289999999999996</v>
      </c>
      <c r="L34" s="40">
        <f t="shared" si="0"/>
        <v>1.9887000000000001</v>
      </c>
      <c r="M34" s="40">
        <f t="shared" si="1"/>
        <v>4.6402999999999999</v>
      </c>
      <c r="N34" s="40">
        <f t="shared" si="4"/>
        <v>13.257999999999999</v>
      </c>
    </row>
    <row r="35" spans="1:14" x14ac:dyDescent="0.25">
      <c r="A35" s="35">
        <f t="shared" si="3"/>
        <v>32</v>
      </c>
      <c r="B35" s="36">
        <v>14</v>
      </c>
      <c r="C35" s="42" t="s">
        <v>541</v>
      </c>
      <c r="D35" s="36" t="s">
        <v>254</v>
      </c>
      <c r="E35" s="38">
        <v>7087</v>
      </c>
      <c r="F35" s="36">
        <v>7087</v>
      </c>
      <c r="G35" s="38">
        <v>10</v>
      </c>
      <c r="H35" s="36">
        <v>10</v>
      </c>
      <c r="I35" s="36">
        <v>100</v>
      </c>
      <c r="J35" s="60">
        <v>7.0000000000000007E-2</v>
      </c>
      <c r="K35" s="40">
        <f t="shared" si="2"/>
        <v>7.0869999999999997</v>
      </c>
      <c r="L35" s="40">
        <f t="shared" si="0"/>
        <v>2.1261000000000001</v>
      </c>
      <c r="M35" s="40">
        <f t="shared" si="1"/>
        <v>4.9609000000000005</v>
      </c>
      <c r="N35" s="40">
        <f t="shared" si="4"/>
        <v>14.174000000000001</v>
      </c>
    </row>
    <row r="36" spans="1:14" x14ac:dyDescent="0.25">
      <c r="A36" s="35">
        <f t="shared" si="3"/>
        <v>33</v>
      </c>
      <c r="B36" s="36">
        <v>14</v>
      </c>
      <c r="C36" s="42" t="s">
        <v>541</v>
      </c>
      <c r="D36" s="36" t="s">
        <v>255</v>
      </c>
      <c r="E36" s="38">
        <v>7838</v>
      </c>
      <c r="F36" s="36">
        <v>7838</v>
      </c>
      <c r="G36" s="38">
        <v>10</v>
      </c>
      <c r="H36" s="36">
        <v>10</v>
      </c>
      <c r="I36" s="36">
        <v>100</v>
      </c>
      <c r="J36" s="60">
        <v>7.0000000000000007E-2</v>
      </c>
      <c r="K36" s="40">
        <f t="shared" si="2"/>
        <v>7.8380000000000001</v>
      </c>
      <c r="L36" s="40">
        <f t="shared" si="0"/>
        <v>2.3513999999999999</v>
      </c>
      <c r="M36" s="40">
        <f t="shared" si="1"/>
        <v>5.486600000000001</v>
      </c>
      <c r="N36" s="40">
        <f t="shared" si="4"/>
        <v>15.676</v>
      </c>
    </row>
    <row r="37" spans="1:14" x14ac:dyDescent="0.25">
      <c r="A37" s="35">
        <f t="shared" si="3"/>
        <v>34</v>
      </c>
      <c r="B37" s="36">
        <v>15</v>
      </c>
      <c r="C37" s="42" t="s">
        <v>542</v>
      </c>
      <c r="D37" s="36" t="s">
        <v>256</v>
      </c>
      <c r="E37" s="38">
        <v>1413</v>
      </c>
      <c r="F37" s="36">
        <v>1413</v>
      </c>
      <c r="G37" s="38">
        <v>10</v>
      </c>
      <c r="H37" s="36">
        <v>10</v>
      </c>
      <c r="I37" s="36">
        <v>100</v>
      </c>
      <c r="J37" s="60">
        <v>0.13</v>
      </c>
      <c r="K37" s="40">
        <f t="shared" si="2"/>
        <v>1.413</v>
      </c>
      <c r="L37" s="40">
        <f t="shared" si="0"/>
        <v>0.4239</v>
      </c>
      <c r="M37" s="40">
        <f t="shared" si="1"/>
        <v>1.8369</v>
      </c>
      <c r="N37" s="40">
        <f t="shared" si="4"/>
        <v>3.6738</v>
      </c>
    </row>
    <row r="38" spans="1:14" x14ac:dyDescent="0.25">
      <c r="A38" s="35">
        <f t="shared" si="3"/>
        <v>35</v>
      </c>
      <c r="B38" s="36">
        <v>15</v>
      </c>
      <c r="C38" s="42" t="s">
        <v>542</v>
      </c>
      <c r="D38" s="36" t="s">
        <v>257</v>
      </c>
      <c r="E38" s="38">
        <v>1697</v>
      </c>
      <c r="F38" s="36">
        <v>1697</v>
      </c>
      <c r="G38" s="38">
        <v>10</v>
      </c>
      <c r="H38" s="36">
        <v>10</v>
      </c>
      <c r="I38" s="36">
        <v>100</v>
      </c>
      <c r="J38" s="60">
        <v>0.13</v>
      </c>
      <c r="K38" s="40">
        <f t="shared" si="2"/>
        <v>1.6970000000000001</v>
      </c>
      <c r="L38" s="40">
        <f t="shared" si="0"/>
        <v>0.5091</v>
      </c>
      <c r="M38" s="40">
        <f t="shared" si="1"/>
        <v>2.2061000000000002</v>
      </c>
      <c r="N38" s="40">
        <f t="shared" si="4"/>
        <v>4.4122000000000003</v>
      </c>
    </row>
    <row r="39" spans="1:14" x14ac:dyDescent="0.25">
      <c r="A39" s="35">
        <f t="shared" si="3"/>
        <v>36</v>
      </c>
      <c r="B39" s="36">
        <v>16</v>
      </c>
      <c r="C39" s="42" t="s">
        <v>543</v>
      </c>
      <c r="D39" s="36" t="s">
        <v>256</v>
      </c>
      <c r="E39" s="38">
        <v>2543</v>
      </c>
      <c r="F39" s="36">
        <v>2543</v>
      </c>
      <c r="G39" s="38">
        <v>10</v>
      </c>
      <c r="H39" s="36">
        <v>10</v>
      </c>
      <c r="I39" s="36">
        <v>100</v>
      </c>
      <c r="J39" s="60">
        <v>0.13</v>
      </c>
      <c r="K39" s="40">
        <f t="shared" si="2"/>
        <v>2.5430000000000001</v>
      </c>
      <c r="L39" s="40">
        <f t="shared" si="0"/>
        <v>0.76289999999999991</v>
      </c>
      <c r="M39" s="40">
        <f t="shared" si="1"/>
        <v>3.3059000000000003</v>
      </c>
      <c r="N39" s="40">
        <f t="shared" si="4"/>
        <v>6.6118000000000006</v>
      </c>
    </row>
    <row r="40" spans="1:14" x14ac:dyDescent="0.25">
      <c r="A40" s="35">
        <f t="shared" si="3"/>
        <v>37</v>
      </c>
      <c r="B40" s="36">
        <v>16</v>
      </c>
      <c r="C40" s="42" t="s">
        <v>543</v>
      </c>
      <c r="D40" s="36" t="s">
        <v>257</v>
      </c>
      <c r="E40" s="38">
        <v>3056</v>
      </c>
      <c r="F40" s="36">
        <v>3056</v>
      </c>
      <c r="G40" s="38">
        <v>10</v>
      </c>
      <c r="H40" s="36">
        <v>10</v>
      </c>
      <c r="I40" s="36">
        <v>100</v>
      </c>
      <c r="J40" s="60">
        <v>0.13</v>
      </c>
      <c r="K40" s="40">
        <f t="shared" si="2"/>
        <v>3.056</v>
      </c>
      <c r="L40" s="40">
        <f t="shared" si="0"/>
        <v>0.91679999999999995</v>
      </c>
      <c r="M40" s="40">
        <f t="shared" si="1"/>
        <v>3.9728000000000003</v>
      </c>
      <c r="N40" s="40">
        <f t="shared" si="4"/>
        <v>7.9456000000000007</v>
      </c>
    </row>
    <row r="41" spans="1:14" x14ac:dyDescent="0.25">
      <c r="A41" s="35">
        <f t="shared" si="3"/>
        <v>38</v>
      </c>
      <c r="B41" s="36">
        <v>17</v>
      </c>
      <c r="C41" s="42" t="s">
        <v>258</v>
      </c>
      <c r="D41" s="36" t="s">
        <v>259</v>
      </c>
      <c r="E41" s="38">
        <v>2226</v>
      </c>
      <c r="F41" s="36">
        <v>2226</v>
      </c>
      <c r="G41" s="38">
        <v>10</v>
      </c>
      <c r="H41" s="36">
        <v>10</v>
      </c>
      <c r="I41" s="36">
        <v>100</v>
      </c>
      <c r="J41" s="60">
        <v>7.0000000000000007E-2</v>
      </c>
      <c r="K41" s="40">
        <f t="shared" si="2"/>
        <v>2.226</v>
      </c>
      <c r="L41" s="40">
        <f t="shared" si="0"/>
        <v>0.66780000000000006</v>
      </c>
      <c r="M41" s="40">
        <f t="shared" si="1"/>
        <v>1.5582000000000003</v>
      </c>
      <c r="N41" s="40">
        <f t="shared" si="4"/>
        <v>4.452</v>
      </c>
    </row>
    <row r="42" spans="1:14" x14ac:dyDescent="0.25">
      <c r="A42" s="35">
        <f t="shared" si="3"/>
        <v>39</v>
      </c>
      <c r="B42" s="36">
        <v>17</v>
      </c>
      <c r="C42" s="42" t="s">
        <v>258</v>
      </c>
      <c r="D42" s="36" t="s">
        <v>260</v>
      </c>
      <c r="E42" s="38">
        <v>3198</v>
      </c>
      <c r="F42" s="36">
        <v>3198</v>
      </c>
      <c r="G42" s="38">
        <v>10</v>
      </c>
      <c r="H42" s="36">
        <v>10</v>
      </c>
      <c r="I42" s="36">
        <v>100</v>
      </c>
      <c r="J42" s="60">
        <v>7.0000000000000007E-2</v>
      </c>
      <c r="K42" s="40">
        <f t="shared" si="2"/>
        <v>3.198</v>
      </c>
      <c r="L42" s="40">
        <f t="shared" si="0"/>
        <v>0.95940000000000003</v>
      </c>
      <c r="M42" s="40">
        <f t="shared" si="1"/>
        <v>2.2385999999999999</v>
      </c>
      <c r="N42" s="40">
        <f t="shared" si="4"/>
        <v>6.3959999999999999</v>
      </c>
    </row>
    <row r="43" spans="1:14" x14ac:dyDescent="0.25">
      <c r="A43" s="35">
        <f t="shared" si="3"/>
        <v>40</v>
      </c>
      <c r="B43" s="36">
        <v>17</v>
      </c>
      <c r="C43" s="42" t="s">
        <v>258</v>
      </c>
      <c r="D43" s="36" t="s">
        <v>261</v>
      </c>
      <c r="E43" s="38">
        <v>4169</v>
      </c>
      <c r="F43" s="36">
        <v>4169</v>
      </c>
      <c r="G43" s="38">
        <v>10</v>
      </c>
      <c r="H43" s="36">
        <v>10</v>
      </c>
      <c r="I43" s="36">
        <v>100</v>
      </c>
      <c r="J43" s="60">
        <v>7.0000000000000007E-2</v>
      </c>
      <c r="K43" s="40">
        <f t="shared" si="2"/>
        <v>4.1689999999999996</v>
      </c>
      <c r="L43" s="40">
        <f t="shared" si="0"/>
        <v>1.2506999999999999</v>
      </c>
      <c r="M43" s="40">
        <f t="shared" si="1"/>
        <v>2.9183000000000003</v>
      </c>
      <c r="N43" s="40">
        <f t="shared" si="4"/>
        <v>8.338000000000001</v>
      </c>
    </row>
    <row r="44" spans="1:14" x14ac:dyDescent="0.25">
      <c r="A44" s="35">
        <f t="shared" si="3"/>
        <v>41</v>
      </c>
      <c r="B44" s="36">
        <v>18</v>
      </c>
      <c r="C44" s="42" t="s">
        <v>262</v>
      </c>
      <c r="D44" s="36" t="s">
        <v>263</v>
      </c>
      <c r="E44" s="38">
        <v>1326</v>
      </c>
      <c r="F44" s="36">
        <v>1326</v>
      </c>
      <c r="G44" s="38">
        <v>10</v>
      </c>
      <c r="H44" s="36">
        <v>10</v>
      </c>
      <c r="I44" s="36">
        <v>100</v>
      </c>
      <c r="J44" s="60">
        <v>7.0000000000000007E-2</v>
      </c>
      <c r="K44" s="40">
        <f t="shared" si="2"/>
        <v>1.3260000000000001</v>
      </c>
      <c r="L44" s="40">
        <f t="shared" si="0"/>
        <v>0.39779999999999999</v>
      </c>
      <c r="M44" s="40">
        <f t="shared" si="1"/>
        <v>0.92820000000000003</v>
      </c>
      <c r="N44" s="40">
        <f t="shared" si="4"/>
        <v>2.6520000000000001</v>
      </c>
    </row>
    <row r="45" spans="1:14" x14ac:dyDescent="0.25">
      <c r="A45" s="35">
        <f t="shared" si="3"/>
        <v>42</v>
      </c>
      <c r="B45" s="36">
        <v>18</v>
      </c>
      <c r="C45" s="42" t="s">
        <v>262</v>
      </c>
      <c r="D45" s="36" t="s">
        <v>264</v>
      </c>
      <c r="E45" s="38">
        <v>1480</v>
      </c>
      <c r="F45" s="36">
        <v>1480</v>
      </c>
      <c r="G45" s="38">
        <v>10</v>
      </c>
      <c r="H45" s="36">
        <v>10</v>
      </c>
      <c r="I45" s="36">
        <v>100</v>
      </c>
      <c r="J45" s="60">
        <v>7.0000000000000007E-2</v>
      </c>
      <c r="K45" s="40">
        <f t="shared" si="2"/>
        <v>1.48</v>
      </c>
      <c r="L45" s="40">
        <f t="shared" si="0"/>
        <v>0.44400000000000001</v>
      </c>
      <c r="M45" s="40">
        <f t="shared" si="1"/>
        <v>1.036</v>
      </c>
      <c r="N45" s="40">
        <f t="shared" si="4"/>
        <v>2.96</v>
      </c>
    </row>
    <row r="46" spans="1:14" x14ac:dyDescent="0.25">
      <c r="A46" s="35">
        <f t="shared" si="3"/>
        <v>43</v>
      </c>
      <c r="B46" s="36">
        <v>19</v>
      </c>
      <c r="C46" s="42" t="s">
        <v>265</v>
      </c>
      <c r="D46" s="36" t="s">
        <v>266</v>
      </c>
      <c r="E46" s="38">
        <v>2147</v>
      </c>
      <c r="F46" s="36">
        <v>2147</v>
      </c>
      <c r="G46" s="38">
        <v>10</v>
      </c>
      <c r="H46" s="36">
        <v>10</v>
      </c>
      <c r="I46" s="36">
        <v>100</v>
      </c>
      <c r="J46" s="60">
        <v>0.05</v>
      </c>
      <c r="K46" s="40">
        <f t="shared" si="2"/>
        <v>2.1469999999999998</v>
      </c>
      <c r="L46" s="40">
        <f t="shared" si="0"/>
        <v>0.64409999999999989</v>
      </c>
      <c r="M46" s="40">
        <f t="shared" si="1"/>
        <v>1.0735000000000001</v>
      </c>
      <c r="N46" s="40">
        <f t="shared" si="4"/>
        <v>3.8645999999999998</v>
      </c>
    </row>
    <row r="47" spans="1:14" x14ac:dyDescent="0.25">
      <c r="A47" s="35">
        <f t="shared" si="3"/>
        <v>44</v>
      </c>
      <c r="B47" s="36">
        <v>19</v>
      </c>
      <c r="C47" s="42" t="s">
        <v>265</v>
      </c>
      <c r="D47" s="36" t="s">
        <v>267</v>
      </c>
      <c r="E47" s="38">
        <v>2393</v>
      </c>
      <c r="F47" s="36">
        <v>2393</v>
      </c>
      <c r="G47" s="38">
        <v>10</v>
      </c>
      <c r="H47" s="36">
        <v>10</v>
      </c>
      <c r="I47" s="36">
        <v>100</v>
      </c>
      <c r="J47" s="60">
        <v>0.05</v>
      </c>
      <c r="K47" s="40">
        <f t="shared" si="2"/>
        <v>2.3929999999999998</v>
      </c>
      <c r="L47" s="40">
        <f t="shared" si="0"/>
        <v>0.71789999999999998</v>
      </c>
      <c r="M47" s="40">
        <f t="shared" si="1"/>
        <v>1.1965000000000001</v>
      </c>
      <c r="N47" s="40">
        <f t="shared" si="4"/>
        <v>4.3074000000000003</v>
      </c>
    </row>
    <row r="48" spans="1:14" x14ac:dyDescent="0.25">
      <c r="A48" s="35">
        <f t="shared" si="3"/>
        <v>45</v>
      </c>
      <c r="B48" s="36">
        <v>19</v>
      </c>
      <c r="C48" s="42" t="s">
        <v>265</v>
      </c>
      <c r="D48" s="36" t="s">
        <v>268</v>
      </c>
      <c r="E48" s="38">
        <v>2639</v>
      </c>
      <c r="F48" s="36">
        <v>2630</v>
      </c>
      <c r="G48" s="38">
        <v>10</v>
      </c>
      <c r="H48" s="36">
        <v>10</v>
      </c>
      <c r="I48" s="36">
        <v>100</v>
      </c>
      <c r="J48" s="60">
        <v>0.05</v>
      </c>
      <c r="K48" s="40">
        <f t="shared" si="2"/>
        <v>2.63</v>
      </c>
      <c r="L48" s="40">
        <f t="shared" si="0"/>
        <v>0.78900000000000003</v>
      </c>
      <c r="M48" s="40">
        <f t="shared" si="1"/>
        <v>1.3149999999999999</v>
      </c>
      <c r="N48" s="40">
        <f t="shared" si="4"/>
        <v>4.734</v>
      </c>
    </row>
    <row r="49" spans="1:14" x14ac:dyDescent="0.25">
      <c r="A49" s="35">
        <f t="shared" si="3"/>
        <v>46</v>
      </c>
      <c r="B49" s="36">
        <v>19</v>
      </c>
      <c r="C49" s="42" t="s">
        <v>265</v>
      </c>
      <c r="D49" s="36" t="s">
        <v>269</v>
      </c>
      <c r="E49" s="38">
        <v>2885</v>
      </c>
      <c r="F49" s="36">
        <v>2885</v>
      </c>
      <c r="G49" s="38">
        <v>10</v>
      </c>
      <c r="H49" s="36">
        <v>10</v>
      </c>
      <c r="I49" s="36">
        <v>100</v>
      </c>
      <c r="J49" s="60">
        <v>0.05</v>
      </c>
      <c r="K49" s="40">
        <f t="shared" si="2"/>
        <v>2.8849999999999998</v>
      </c>
      <c r="L49" s="40">
        <f t="shared" si="0"/>
        <v>0.86550000000000005</v>
      </c>
      <c r="M49" s="40">
        <f t="shared" si="1"/>
        <v>1.4424999999999999</v>
      </c>
      <c r="N49" s="40">
        <f t="shared" si="4"/>
        <v>5.1929999999999996</v>
      </c>
    </row>
    <row r="50" spans="1:14" x14ac:dyDescent="0.25">
      <c r="A50" s="35">
        <f t="shared" si="3"/>
        <v>47</v>
      </c>
      <c r="B50" s="36">
        <v>20</v>
      </c>
      <c r="C50" s="42" t="s">
        <v>544</v>
      </c>
      <c r="D50" s="36" t="s">
        <v>268</v>
      </c>
      <c r="E50" s="38">
        <v>6128</v>
      </c>
      <c r="F50" s="36">
        <v>6128</v>
      </c>
      <c r="G50" s="38">
        <v>10</v>
      </c>
      <c r="H50" s="36">
        <v>10</v>
      </c>
      <c r="I50" s="36">
        <v>100</v>
      </c>
      <c r="J50" s="60">
        <v>3.5000000000000003E-2</v>
      </c>
      <c r="K50" s="40">
        <f t="shared" si="2"/>
        <v>6.1280000000000001</v>
      </c>
      <c r="L50" s="40">
        <f t="shared" si="0"/>
        <v>1.8384</v>
      </c>
      <c r="M50" s="40">
        <f t="shared" si="1"/>
        <v>2.1448</v>
      </c>
      <c r="N50" s="40">
        <f t="shared" si="4"/>
        <v>10.1112</v>
      </c>
    </row>
    <row r="51" spans="1:14" x14ac:dyDescent="0.25">
      <c r="A51" s="35">
        <f t="shared" si="3"/>
        <v>48</v>
      </c>
      <c r="B51" s="36">
        <v>20</v>
      </c>
      <c r="C51" s="42" t="s">
        <v>544</v>
      </c>
      <c r="D51" s="36" t="s">
        <v>270</v>
      </c>
      <c r="E51" s="38">
        <v>6920</v>
      </c>
      <c r="F51" s="36">
        <v>6920</v>
      </c>
      <c r="G51" s="38">
        <v>10</v>
      </c>
      <c r="H51" s="36">
        <v>10</v>
      </c>
      <c r="I51" s="36">
        <v>100</v>
      </c>
      <c r="J51" s="60">
        <v>3.5000000000000003E-2</v>
      </c>
      <c r="K51" s="40">
        <f t="shared" si="2"/>
        <v>6.92</v>
      </c>
      <c r="L51" s="40">
        <f t="shared" si="0"/>
        <v>2.0760000000000001</v>
      </c>
      <c r="M51" s="40">
        <f t="shared" si="1"/>
        <v>2.4220000000000002</v>
      </c>
      <c r="N51" s="40">
        <f t="shared" si="4"/>
        <v>11.418000000000001</v>
      </c>
    </row>
    <row r="52" spans="1:14" x14ac:dyDescent="0.25">
      <c r="A52" s="35">
        <f t="shared" si="3"/>
        <v>49</v>
      </c>
      <c r="B52" s="36">
        <v>20</v>
      </c>
      <c r="C52" s="42" t="s">
        <v>544</v>
      </c>
      <c r="D52" s="36" t="s">
        <v>271</v>
      </c>
      <c r="E52" s="38">
        <v>7337</v>
      </c>
      <c r="F52" s="36">
        <v>7337</v>
      </c>
      <c r="G52" s="38">
        <v>10</v>
      </c>
      <c r="H52" s="36">
        <v>10</v>
      </c>
      <c r="I52" s="36">
        <v>100</v>
      </c>
      <c r="J52" s="60">
        <v>3.5000000000000003E-2</v>
      </c>
      <c r="K52" s="40">
        <f t="shared" si="2"/>
        <v>7.3369999999999997</v>
      </c>
      <c r="L52" s="40">
        <f t="shared" si="0"/>
        <v>2.2010999999999998</v>
      </c>
      <c r="M52" s="40">
        <f t="shared" si="1"/>
        <v>2.5679500000000002</v>
      </c>
      <c r="N52" s="40">
        <f t="shared" si="4"/>
        <v>12.10605</v>
      </c>
    </row>
    <row r="53" spans="1:14" x14ac:dyDescent="0.25">
      <c r="A53" s="35">
        <f t="shared" si="3"/>
        <v>50</v>
      </c>
      <c r="B53" s="36">
        <v>20</v>
      </c>
      <c r="C53" s="42" t="s">
        <v>544</v>
      </c>
      <c r="D53" s="36" t="s">
        <v>272</v>
      </c>
      <c r="E53" s="38">
        <v>8129</v>
      </c>
      <c r="F53" s="36">
        <v>8129</v>
      </c>
      <c r="G53" s="38">
        <v>10</v>
      </c>
      <c r="H53" s="36">
        <v>10</v>
      </c>
      <c r="I53" s="36">
        <v>100</v>
      </c>
      <c r="J53" s="60">
        <v>3.5000000000000003E-2</v>
      </c>
      <c r="K53" s="40">
        <f t="shared" si="2"/>
        <v>8.1289999999999996</v>
      </c>
      <c r="L53" s="40">
        <f t="shared" si="0"/>
        <v>2.4387000000000003</v>
      </c>
      <c r="M53" s="40">
        <f t="shared" si="1"/>
        <v>2.8451500000000003</v>
      </c>
      <c r="N53" s="40">
        <f t="shared" si="4"/>
        <v>13.412850000000001</v>
      </c>
    </row>
    <row r="54" spans="1:14" x14ac:dyDescent="0.25">
      <c r="A54" s="35">
        <f t="shared" si="3"/>
        <v>51</v>
      </c>
      <c r="B54" s="36">
        <v>20</v>
      </c>
      <c r="C54" s="42" t="s">
        <v>544</v>
      </c>
      <c r="D54" s="36" t="s">
        <v>273</v>
      </c>
      <c r="E54" s="38">
        <v>8922</v>
      </c>
      <c r="F54" s="36">
        <v>8922</v>
      </c>
      <c r="G54" s="38">
        <v>10</v>
      </c>
      <c r="H54" s="36">
        <v>10</v>
      </c>
      <c r="I54" s="36">
        <v>100</v>
      </c>
      <c r="J54" s="60">
        <v>3.5000000000000003E-2</v>
      </c>
      <c r="K54" s="40">
        <f t="shared" si="2"/>
        <v>8.9220000000000006</v>
      </c>
      <c r="L54" s="40">
        <f t="shared" si="0"/>
        <v>2.6765999999999996</v>
      </c>
      <c r="M54" s="40">
        <f t="shared" si="1"/>
        <v>3.1227000000000005</v>
      </c>
      <c r="N54" s="40">
        <f t="shared" si="4"/>
        <v>14.721300000000001</v>
      </c>
    </row>
    <row r="55" spans="1:14" x14ac:dyDescent="0.25">
      <c r="A55" s="35">
        <f t="shared" si="3"/>
        <v>52</v>
      </c>
      <c r="B55" s="36">
        <v>20</v>
      </c>
      <c r="C55" s="42" t="s">
        <v>544</v>
      </c>
      <c r="D55" s="36" t="s">
        <v>274</v>
      </c>
      <c r="E55" s="38">
        <v>9755</v>
      </c>
      <c r="F55" s="36">
        <v>9755</v>
      </c>
      <c r="G55" s="38">
        <v>10</v>
      </c>
      <c r="H55" s="36">
        <v>10</v>
      </c>
      <c r="I55" s="36">
        <v>100</v>
      </c>
      <c r="J55" s="60">
        <v>3.5000000000000003E-2</v>
      </c>
      <c r="K55" s="40">
        <f t="shared" si="2"/>
        <v>9.7550000000000008</v>
      </c>
      <c r="L55" s="40">
        <f t="shared" si="0"/>
        <v>2.9264999999999999</v>
      </c>
      <c r="M55" s="40">
        <f t="shared" si="1"/>
        <v>3.41425</v>
      </c>
      <c r="N55" s="40">
        <f t="shared" si="4"/>
        <v>16.095749999999999</v>
      </c>
    </row>
    <row r="56" spans="1:14" x14ac:dyDescent="0.25">
      <c r="A56" s="35">
        <f t="shared" si="3"/>
        <v>53</v>
      </c>
      <c r="B56" s="36">
        <v>20</v>
      </c>
      <c r="C56" s="42" t="s">
        <v>544</v>
      </c>
      <c r="D56" s="36" t="s">
        <v>275</v>
      </c>
      <c r="E56" s="38">
        <v>11340</v>
      </c>
      <c r="F56" s="36">
        <v>11340</v>
      </c>
      <c r="G56" s="38">
        <v>10</v>
      </c>
      <c r="H56" s="36">
        <v>10</v>
      </c>
      <c r="I56" s="36">
        <v>100</v>
      </c>
      <c r="J56" s="60">
        <v>3.5000000000000003E-2</v>
      </c>
      <c r="K56" s="40">
        <f t="shared" si="2"/>
        <v>11.34</v>
      </c>
      <c r="L56" s="40">
        <f t="shared" si="0"/>
        <v>3.4020000000000001</v>
      </c>
      <c r="M56" s="40">
        <f t="shared" si="1"/>
        <v>3.9690000000000003</v>
      </c>
      <c r="N56" s="40">
        <f t="shared" si="4"/>
        <v>18.711000000000002</v>
      </c>
    </row>
    <row r="57" spans="1:14" x14ac:dyDescent="0.25">
      <c r="A57" s="35">
        <f t="shared" si="3"/>
        <v>54</v>
      </c>
      <c r="B57" s="36">
        <v>20</v>
      </c>
      <c r="C57" s="42" t="s">
        <v>544</v>
      </c>
      <c r="D57" s="36" t="s">
        <v>276</v>
      </c>
      <c r="E57" s="38">
        <v>12132</v>
      </c>
      <c r="F57" s="36">
        <v>12132</v>
      </c>
      <c r="G57" s="38">
        <v>10</v>
      </c>
      <c r="H57" s="36">
        <v>10</v>
      </c>
      <c r="I57" s="36">
        <v>100</v>
      </c>
      <c r="J57" s="60">
        <v>3.5000000000000003E-2</v>
      </c>
      <c r="K57" s="40">
        <f t="shared" si="2"/>
        <v>12.132</v>
      </c>
      <c r="L57" s="40">
        <f t="shared" si="0"/>
        <v>3.6395999999999997</v>
      </c>
      <c r="M57" s="40">
        <f t="shared" si="1"/>
        <v>4.2462000000000009</v>
      </c>
      <c r="N57" s="40">
        <f t="shared" si="4"/>
        <v>20.017800000000001</v>
      </c>
    </row>
    <row r="58" spans="1:14" x14ac:dyDescent="0.25">
      <c r="A58" s="35">
        <f t="shared" si="3"/>
        <v>55</v>
      </c>
      <c r="B58" s="36">
        <v>21</v>
      </c>
      <c r="C58" s="42" t="s">
        <v>277</v>
      </c>
      <c r="D58" s="36" t="s">
        <v>278</v>
      </c>
      <c r="E58" s="38">
        <v>805</v>
      </c>
      <c r="F58" s="36">
        <v>805</v>
      </c>
      <c r="G58" s="38">
        <v>10</v>
      </c>
      <c r="H58" s="36">
        <v>10</v>
      </c>
      <c r="I58" s="36">
        <v>100</v>
      </c>
      <c r="J58" s="60">
        <v>0.12</v>
      </c>
      <c r="K58" s="40">
        <f t="shared" si="2"/>
        <v>0.80500000000000005</v>
      </c>
      <c r="L58" s="40">
        <f t="shared" si="0"/>
        <v>0.24150000000000002</v>
      </c>
      <c r="M58" s="40">
        <f t="shared" si="1"/>
        <v>0.96599999999999997</v>
      </c>
      <c r="N58" s="40">
        <f t="shared" si="4"/>
        <v>2.0125000000000002</v>
      </c>
    </row>
    <row r="59" spans="1:14" x14ac:dyDescent="0.25">
      <c r="A59" s="35">
        <f t="shared" si="3"/>
        <v>56</v>
      </c>
      <c r="B59" s="36">
        <v>21</v>
      </c>
      <c r="C59" s="42" t="s">
        <v>277</v>
      </c>
      <c r="D59" s="36" t="s">
        <v>279</v>
      </c>
      <c r="E59" s="38">
        <v>1201</v>
      </c>
      <c r="F59" s="36">
        <v>1201</v>
      </c>
      <c r="G59" s="38">
        <v>10</v>
      </c>
      <c r="H59" s="36">
        <v>10</v>
      </c>
      <c r="I59" s="36">
        <v>100</v>
      </c>
      <c r="J59" s="60">
        <v>0.12</v>
      </c>
      <c r="K59" s="40">
        <f t="shared" si="2"/>
        <v>1.2010000000000001</v>
      </c>
      <c r="L59" s="40">
        <f t="shared" si="0"/>
        <v>0.36029999999999995</v>
      </c>
      <c r="M59" s="40">
        <f t="shared" si="1"/>
        <v>1.4412</v>
      </c>
      <c r="N59" s="40">
        <f t="shared" si="4"/>
        <v>3.0025000000000004</v>
      </c>
    </row>
    <row r="60" spans="1:14" x14ac:dyDescent="0.25">
      <c r="A60" s="35">
        <f t="shared" si="3"/>
        <v>57</v>
      </c>
      <c r="B60" s="36">
        <v>21</v>
      </c>
      <c r="C60" s="42" t="s">
        <v>277</v>
      </c>
      <c r="D60" s="36" t="s">
        <v>280</v>
      </c>
      <c r="E60" s="38">
        <v>1593</v>
      </c>
      <c r="F60" s="36">
        <v>1593</v>
      </c>
      <c r="G60" s="38">
        <v>10</v>
      </c>
      <c r="H60" s="36">
        <v>10</v>
      </c>
      <c r="I60" s="36">
        <v>100</v>
      </c>
      <c r="J60" s="60">
        <v>0.12</v>
      </c>
      <c r="K60" s="40">
        <f t="shared" si="2"/>
        <v>1.593</v>
      </c>
      <c r="L60" s="40">
        <f t="shared" si="0"/>
        <v>0.47789999999999999</v>
      </c>
      <c r="M60" s="40">
        <f t="shared" si="1"/>
        <v>1.9116</v>
      </c>
      <c r="N60" s="40">
        <f t="shared" si="4"/>
        <v>3.9824999999999999</v>
      </c>
    </row>
    <row r="61" spans="1:14" x14ac:dyDescent="0.25">
      <c r="A61" s="35">
        <f t="shared" si="3"/>
        <v>58</v>
      </c>
      <c r="B61" s="36">
        <v>21</v>
      </c>
      <c r="C61" s="42" t="s">
        <v>277</v>
      </c>
      <c r="D61" s="36" t="s">
        <v>256</v>
      </c>
      <c r="E61" s="38">
        <v>2376</v>
      </c>
      <c r="F61" s="36">
        <v>2376</v>
      </c>
      <c r="G61" s="38">
        <v>10</v>
      </c>
      <c r="H61" s="36">
        <v>10</v>
      </c>
      <c r="I61" s="36">
        <v>100</v>
      </c>
      <c r="J61" s="60">
        <v>0.12</v>
      </c>
      <c r="K61" s="40">
        <f t="shared" si="2"/>
        <v>2.3759999999999999</v>
      </c>
      <c r="L61" s="40">
        <f t="shared" si="0"/>
        <v>0.71279999999999999</v>
      </c>
      <c r="M61" s="40">
        <f t="shared" si="1"/>
        <v>2.8512</v>
      </c>
      <c r="N61" s="40">
        <f t="shared" si="4"/>
        <v>5.9399999999999995</v>
      </c>
    </row>
    <row r="62" spans="1:14" x14ac:dyDescent="0.25">
      <c r="A62" s="35">
        <f t="shared" si="3"/>
        <v>59</v>
      </c>
      <c r="B62" s="36">
        <v>21</v>
      </c>
      <c r="C62" s="42" t="s">
        <v>277</v>
      </c>
      <c r="D62" s="36" t="s">
        <v>257</v>
      </c>
      <c r="E62" s="38">
        <v>3164</v>
      </c>
      <c r="F62" s="36">
        <v>3164</v>
      </c>
      <c r="G62" s="38">
        <v>10</v>
      </c>
      <c r="H62" s="36">
        <v>10</v>
      </c>
      <c r="I62" s="36">
        <v>100</v>
      </c>
      <c r="J62" s="60">
        <v>0.12</v>
      </c>
      <c r="K62" s="40">
        <f t="shared" si="2"/>
        <v>3.1640000000000001</v>
      </c>
      <c r="L62" s="40">
        <f t="shared" si="0"/>
        <v>0.94919999999999993</v>
      </c>
      <c r="M62" s="40">
        <f t="shared" si="1"/>
        <v>3.7968000000000002</v>
      </c>
      <c r="N62" s="40">
        <f t="shared" si="4"/>
        <v>7.91</v>
      </c>
    </row>
    <row r="63" spans="1:14" x14ac:dyDescent="0.25">
      <c r="A63" s="35">
        <f t="shared" si="3"/>
        <v>60</v>
      </c>
      <c r="B63" s="36">
        <v>21</v>
      </c>
      <c r="C63" s="42" t="s">
        <v>277</v>
      </c>
      <c r="D63" s="36" t="s">
        <v>281</v>
      </c>
      <c r="E63" s="38">
        <v>3948</v>
      </c>
      <c r="F63" s="36">
        <v>3948</v>
      </c>
      <c r="G63" s="38">
        <v>10</v>
      </c>
      <c r="H63" s="36">
        <v>10</v>
      </c>
      <c r="I63" s="36">
        <v>100</v>
      </c>
      <c r="J63" s="60">
        <v>0.12</v>
      </c>
      <c r="K63" s="40">
        <f t="shared" si="2"/>
        <v>3.948</v>
      </c>
      <c r="L63" s="40">
        <f t="shared" si="0"/>
        <v>1.1843999999999999</v>
      </c>
      <c r="M63" s="40">
        <f t="shared" si="1"/>
        <v>4.7375999999999996</v>
      </c>
      <c r="N63" s="40">
        <f t="shared" si="4"/>
        <v>9.8699999999999992</v>
      </c>
    </row>
    <row r="64" spans="1:14" x14ac:dyDescent="0.25">
      <c r="A64" s="35">
        <f t="shared" si="3"/>
        <v>61</v>
      </c>
      <c r="B64" s="36">
        <v>22</v>
      </c>
      <c r="C64" s="42" t="s">
        <v>282</v>
      </c>
      <c r="D64" s="36" t="s">
        <v>283</v>
      </c>
      <c r="E64" s="38">
        <v>2468</v>
      </c>
      <c r="F64" s="36">
        <v>2468</v>
      </c>
      <c r="G64" s="38">
        <v>10</v>
      </c>
      <c r="H64" s="36">
        <v>10</v>
      </c>
      <c r="I64" s="36">
        <v>100</v>
      </c>
      <c r="J64" s="60">
        <v>0.09</v>
      </c>
      <c r="K64" s="40">
        <f t="shared" si="2"/>
        <v>2.468</v>
      </c>
      <c r="L64" s="40">
        <f t="shared" si="0"/>
        <v>0.74039999999999995</v>
      </c>
      <c r="M64" s="40">
        <f t="shared" si="1"/>
        <v>2.2212000000000001</v>
      </c>
      <c r="N64" s="40">
        <f t="shared" si="4"/>
        <v>5.4296000000000006</v>
      </c>
    </row>
    <row r="65" spans="1:14" x14ac:dyDescent="0.25">
      <c r="A65" s="35">
        <f t="shared" si="3"/>
        <v>62</v>
      </c>
      <c r="B65" s="36">
        <v>22</v>
      </c>
      <c r="C65" s="42" t="s">
        <v>282</v>
      </c>
      <c r="D65" s="36" t="s">
        <v>284</v>
      </c>
      <c r="E65" s="38">
        <v>3252</v>
      </c>
      <c r="F65" s="36">
        <v>3252</v>
      </c>
      <c r="G65" s="38">
        <v>10</v>
      </c>
      <c r="H65" s="36">
        <v>10</v>
      </c>
      <c r="I65" s="36">
        <v>100</v>
      </c>
      <c r="J65" s="60">
        <v>0.09</v>
      </c>
      <c r="K65" s="40">
        <f t="shared" si="2"/>
        <v>3.2519999999999998</v>
      </c>
      <c r="L65" s="40">
        <f t="shared" si="0"/>
        <v>0.97560000000000002</v>
      </c>
      <c r="M65" s="40">
        <f t="shared" si="1"/>
        <v>2.9268000000000001</v>
      </c>
      <c r="N65" s="40">
        <f t="shared" si="4"/>
        <v>7.1543999999999999</v>
      </c>
    </row>
    <row r="66" spans="1:14" x14ac:dyDescent="0.25">
      <c r="A66" s="35">
        <f t="shared" si="3"/>
        <v>63</v>
      </c>
      <c r="B66" s="36">
        <v>22</v>
      </c>
      <c r="C66" s="42" t="s">
        <v>282</v>
      </c>
      <c r="D66" s="36" t="s">
        <v>285</v>
      </c>
      <c r="E66" s="38">
        <v>4002</v>
      </c>
      <c r="F66" s="36">
        <v>4002</v>
      </c>
      <c r="G66" s="38">
        <v>10</v>
      </c>
      <c r="H66" s="36">
        <v>10</v>
      </c>
      <c r="I66" s="36">
        <v>100</v>
      </c>
      <c r="J66" s="60">
        <v>0.09</v>
      </c>
      <c r="K66" s="40">
        <f t="shared" si="2"/>
        <v>4.0019999999999998</v>
      </c>
      <c r="L66" s="40">
        <f t="shared" si="0"/>
        <v>1.2006000000000001</v>
      </c>
      <c r="M66" s="40">
        <f t="shared" si="1"/>
        <v>3.6017999999999999</v>
      </c>
      <c r="N66" s="40">
        <f t="shared" si="4"/>
        <v>8.8044000000000011</v>
      </c>
    </row>
    <row r="67" spans="1:14" x14ac:dyDescent="0.25">
      <c r="A67" s="35">
        <f t="shared" si="3"/>
        <v>64</v>
      </c>
      <c r="B67" s="36">
        <v>22</v>
      </c>
      <c r="C67" s="42" t="s">
        <v>282</v>
      </c>
      <c r="D67" s="36" t="s">
        <v>286</v>
      </c>
      <c r="E67" s="38">
        <v>4711</v>
      </c>
      <c r="F67" s="36">
        <v>4711</v>
      </c>
      <c r="G67" s="38">
        <v>10</v>
      </c>
      <c r="H67" s="36">
        <v>10</v>
      </c>
      <c r="I67" s="36">
        <v>100</v>
      </c>
      <c r="J67" s="60">
        <v>0.09</v>
      </c>
      <c r="K67" s="40">
        <f t="shared" si="2"/>
        <v>4.7110000000000003</v>
      </c>
      <c r="L67" s="40">
        <f t="shared" si="0"/>
        <v>1.4133</v>
      </c>
      <c r="M67" s="40">
        <f t="shared" si="1"/>
        <v>4.2399000000000004</v>
      </c>
      <c r="N67" s="40">
        <f t="shared" si="4"/>
        <v>10.3642</v>
      </c>
    </row>
    <row r="68" spans="1:14" x14ac:dyDescent="0.25">
      <c r="A68" s="35">
        <f t="shared" si="3"/>
        <v>65</v>
      </c>
      <c r="B68" s="36">
        <v>23</v>
      </c>
      <c r="C68" s="42" t="s">
        <v>545</v>
      </c>
      <c r="D68" s="36" t="s">
        <v>283</v>
      </c>
      <c r="E68" s="38">
        <v>684</v>
      </c>
      <c r="F68" s="36">
        <v>684</v>
      </c>
      <c r="G68" s="38">
        <v>10</v>
      </c>
      <c r="H68" s="36">
        <v>10</v>
      </c>
      <c r="I68" s="36">
        <v>100</v>
      </c>
      <c r="J68" s="60">
        <v>7.0000000000000007E-2</v>
      </c>
      <c r="K68" s="40">
        <f t="shared" si="2"/>
        <v>0.68400000000000005</v>
      </c>
      <c r="L68" s="40">
        <f t="shared" ref="L68:L131" si="5">+(F68/I68)*($L$1/100)</f>
        <v>0.20519999999999999</v>
      </c>
      <c r="M68" s="40">
        <f t="shared" ref="M68:M131" si="6">+F68*J68/100</f>
        <v>0.4788</v>
      </c>
      <c r="N68" s="40">
        <f t="shared" si="4"/>
        <v>1.3679999999999999</v>
      </c>
    </row>
    <row r="69" spans="1:14" x14ac:dyDescent="0.25">
      <c r="A69" s="35">
        <f t="shared" si="3"/>
        <v>66</v>
      </c>
      <c r="B69" s="36">
        <v>23</v>
      </c>
      <c r="C69" s="42" t="s">
        <v>545</v>
      </c>
      <c r="D69" s="36" t="s">
        <v>284</v>
      </c>
      <c r="E69" s="38">
        <v>881</v>
      </c>
      <c r="F69" s="36">
        <v>881</v>
      </c>
      <c r="G69" s="38">
        <v>10</v>
      </c>
      <c r="H69" s="36">
        <v>10</v>
      </c>
      <c r="I69" s="36">
        <v>100</v>
      </c>
      <c r="J69" s="60">
        <v>7.0000000000000007E-2</v>
      </c>
      <c r="K69" s="40">
        <f t="shared" ref="K69:K132" si="7">+F69/(H69*I69)</f>
        <v>0.88100000000000001</v>
      </c>
      <c r="L69" s="40">
        <f t="shared" si="5"/>
        <v>0.26429999999999998</v>
      </c>
      <c r="M69" s="40">
        <f t="shared" si="6"/>
        <v>0.61670000000000014</v>
      </c>
      <c r="N69" s="40">
        <f t="shared" si="4"/>
        <v>1.762</v>
      </c>
    </row>
    <row r="70" spans="1:14" x14ac:dyDescent="0.25">
      <c r="A70" s="35">
        <f t="shared" ref="A70:A133" si="8">+A69+1</f>
        <v>67</v>
      </c>
      <c r="B70" s="36">
        <v>23</v>
      </c>
      <c r="C70" s="42" t="s">
        <v>545</v>
      </c>
      <c r="D70" s="36" t="s">
        <v>285</v>
      </c>
      <c r="E70" s="38">
        <v>1074</v>
      </c>
      <c r="F70" s="36">
        <v>1074</v>
      </c>
      <c r="G70" s="38">
        <v>10</v>
      </c>
      <c r="H70" s="36">
        <v>10</v>
      </c>
      <c r="I70" s="36">
        <v>100</v>
      </c>
      <c r="J70" s="60">
        <v>7.0000000000000007E-2</v>
      </c>
      <c r="K70" s="40">
        <f t="shared" si="7"/>
        <v>1.0740000000000001</v>
      </c>
      <c r="L70" s="40">
        <f t="shared" si="5"/>
        <v>0.32219999999999999</v>
      </c>
      <c r="M70" s="40">
        <f t="shared" si="6"/>
        <v>0.75180000000000002</v>
      </c>
      <c r="N70" s="40">
        <f t="shared" ref="N70:N133" si="9">+K70+L70+M70</f>
        <v>2.1480000000000001</v>
      </c>
    </row>
    <row r="71" spans="1:14" x14ac:dyDescent="0.25">
      <c r="A71" s="35">
        <f t="shared" si="8"/>
        <v>68</v>
      </c>
      <c r="B71" s="36">
        <v>23</v>
      </c>
      <c r="C71" s="42" t="s">
        <v>545</v>
      </c>
      <c r="D71" s="36" t="s">
        <v>286</v>
      </c>
      <c r="E71" s="38">
        <v>1271</v>
      </c>
      <c r="F71" s="36">
        <v>1271</v>
      </c>
      <c r="G71" s="38">
        <v>10</v>
      </c>
      <c r="H71" s="36">
        <v>10</v>
      </c>
      <c r="I71" s="36">
        <v>100</v>
      </c>
      <c r="J71" s="60">
        <v>7.0000000000000007E-2</v>
      </c>
      <c r="K71" s="40">
        <f t="shared" si="7"/>
        <v>1.2709999999999999</v>
      </c>
      <c r="L71" s="40">
        <f t="shared" si="5"/>
        <v>0.38130000000000003</v>
      </c>
      <c r="M71" s="40">
        <f t="shared" si="6"/>
        <v>0.88970000000000016</v>
      </c>
      <c r="N71" s="40">
        <f t="shared" si="9"/>
        <v>2.5419999999999998</v>
      </c>
    </row>
    <row r="72" spans="1:14" x14ac:dyDescent="0.25">
      <c r="A72" s="35">
        <f t="shared" si="8"/>
        <v>69</v>
      </c>
      <c r="B72" s="36">
        <v>23</v>
      </c>
      <c r="C72" s="42" t="s">
        <v>545</v>
      </c>
      <c r="D72" s="36" t="s">
        <v>287</v>
      </c>
      <c r="E72" s="38">
        <v>1464</v>
      </c>
      <c r="F72" s="36">
        <v>1464</v>
      </c>
      <c r="G72" s="38">
        <v>10</v>
      </c>
      <c r="H72" s="36">
        <v>10</v>
      </c>
      <c r="I72" s="36">
        <v>100</v>
      </c>
      <c r="J72" s="60">
        <v>7.0000000000000007E-2</v>
      </c>
      <c r="K72" s="40">
        <f t="shared" si="7"/>
        <v>1.464</v>
      </c>
      <c r="L72" s="40">
        <f t="shared" si="5"/>
        <v>0.43919999999999998</v>
      </c>
      <c r="M72" s="40">
        <f t="shared" si="6"/>
        <v>1.0247999999999999</v>
      </c>
      <c r="N72" s="40">
        <f t="shared" si="9"/>
        <v>2.9279999999999999</v>
      </c>
    </row>
    <row r="73" spans="1:14" x14ac:dyDescent="0.25">
      <c r="A73" s="35">
        <f t="shared" si="8"/>
        <v>70</v>
      </c>
      <c r="B73" s="36">
        <v>23</v>
      </c>
      <c r="C73" s="42" t="s">
        <v>545</v>
      </c>
      <c r="D73" s="36" t="s">
        <v>288</v>
      </c>
      <c r="E73" s="38">
        <v>1660</v>
      </c>
      <c r="F73" s="36">
        <v>1660</v>
      </c>
      <c r="G73" s="38">
        <v>10</v>
      </c>
      <c r="H73" s="36">
        <v>10</v>
      </c>
      <c r="I73" s="36">
        <v>100</v>
      </c>
      <c r="J73" s="60">
        <v>7.0000000000000007E-2</v>
      </c>
      <c r="K73" s="40">
        <f t="shared" si="7"/>
        <v>1.66</v>
      </c>
      <c r="L73" s="40">
        <f t="shared" si="5"/>
        <v>0.498</v>
      </c>
      <c r="M73" s="40">
        <f t="shared" si="6"/>
        <v>1.1620000000000001</v>
      </c>
      <c r="N73" s="40">
        <f t="shared" si="9"/>
        <v>3.3200000000000003</v>
      </c>
    </row>
    <row r="74" spans="1:14" x14ac:dyDescent="0.25">
      <c r="A74" s="35">
        <f t="shared" si="8"/>
        <v>71</v>
      </c>
      <c r="B74" s="36">
        <v>23</v>
      </c>
      <c r="C74" s="42" t="s">
        <v>545</v>
      </c>
      <c r="D74" s="36" t="s">
        <v>289</v>
      </c>
      <c r="E74" s="38">
        <v>1854</v>
      </c>
      <c r="F74" s="36">
        <v>1854</v>
      </c>
      <c r="G74" s="38">
        <v>10</v>
      </c>
      <c r="H74" s="36">
        <v>10</v>
      </c>
      <c r="I74" s="36">
        <v>100</v>
      </c>
      <c r="J74" s="60">
        <v>7.0000000000000007E-2</v>
      </c>
      <c r="K74" s="40">
        <f t="shared" si="7"/>
        <v>1.8540000000000001</v>
      </c>
      <c r="L74" s="40">
        <f t="shared" si="5"/>
        <v>0.55619999999999992</v>
      </c>
      <c r="M74" s="40">
        <f t="shared" si="6"/>
        <v>1.2978000000000001</v>
      </c>
      <c r="N74" s="40">
        <f t="shared" si="9"/>
        <v>3.7080000000000002</v>
      </c>
    </row>
    <row r="75" spans="1:14" x14ac:dyDescent="0.25">
      <c r="A75" s="35">
        <f t="shared" si="8"/>
        <v>72</v>
      </c>
      <c r="B75" s="36">
        <v>23</v>
      </c>
      <c r="C75" s="42" t="s">
        <v>545</v>
      </c>
      <c r="D75" s="36" t="s">
        <v>290</v>
      </c>
      <c r="E75" s="38">
        <v>2050</v>
      </c>
      <c r="F75" s="36">
        <v>2050</v>
      </c>
      <c r="G75" s="38">
        <v>10</v>
      </c>
      <c r="H75" s="36">
        <v>10</v>
      </c>
      <c r="I75" s="36">
        <v>100</v>
      </c>
      <c r="J75" s="60">
        <v>7.0000000000000007E-2</v>
      </c>
      <c r="K75" s="40">
        <f t="shared" si="7"/>
        <v>2.0499999999999998</v>
      </c>
      <c r="L75" s="40">
        <f t="shared" si="5"/>
        <v>0.61499999999999999</v>
      </c>
      <c r="M75" s="40">
        <f t="shared" si="6"/>
        <v>1.4350000000000001</v>
      </c>
      <c r="N75" s="40">
        <f t="shared" si="9"/>
        <v>4.0999999999999996</v>
      </c>
    </row>
    <row r="76" spans="1:14" x14ac:dyDescent="0.25">
      <c r="A76" s="35">
        <f t="shared" si="8"/>
        <v>73</v>
      </c>
      <c r="B76" s="36">
        <v>24</v>
      </c>
      <c r="C76" s="42" t="s">
        <v>291</v>
      </c>
      <c r="D76" s="36" t="s">
        <v>283</v>
      </c>
      <c r="E76" s="38">
        <v>900</v>
      </c>
      <c r="F76" s="36">
        <v>900</v>
      </c>
      <c r="G76" s="38">
        <v>10</v>
      </c>
      <c r="H76" s="36">
        <v>10</v>
      </c>
      <c r="I76" s="36">
        <v>100</v>
      </c>
      <c r="J76" s="60">
        <v>7.0000000000000007E-2</v>
      </c>
      <c r="K76" s="40">
        <f t="shared" si="7"/>
        <v>0.9</v>
      </c>
      <c r="L76" s="40">
        <f t="shared" si="5"/>
        <v>0.27</v>
      </c>
      <c r="M76" s="40">
        <f t="shared" si="6"/>
        <v>0.63000000000000012</v>
      </c>
      <c r="N76" s="40">
        <f t="shared" si="9"/>
        <v>1.8</v>
      </c>
    </row>
    <row r="77" spans="1:14" x14ac:dyDescent="0.25">
      <c r="A77" s="35">
        <f t="shared" si="8"/>
        <v>74</v>
      </c>
      <c r="B77" s="36">
        <v>24</v>
      </c>
      <c r="C77" s="42" t="s">
        <v>291</v>
      </c>
      <c r="D77" s="36" t="s">
        <v>284</v>
      </c>
      <c r="E77" s="38">
        <v>1159</v>
      </c>
      <c r="F77" s="36">
        <v>1159</v>
      </c>
      <c r="G77" s="38">
        <v>10</v>
      </c>
      <c r="H77" s="36">
        <v>10</v>
      </c>
      <c r="I77" s="36">
        <v>100</v>
      </c>
      <c r="J77" s="60">
        <v>7.0000000000000007E-2</v>
      </c>
      <c r="K77" s="40">
        <f t="shared" si="7"/>
        <v>1.159</v>
      </c>
      <c r="L77" s="40">
        <f t="shared" si="5"/>
        <v>0.34770000000000001</v>
      </c>
      <c r="M77" s="40">
        <f t="shared" si="6"/>
        <v>0.81130000000000013</v>
      </c>
      <c r="N77" s="40">
        <f t="shared" si="9"/>
        <v>2.3180000000000001</v>
      </c>
    </row>
    <row r="78" spans="1:14" x14ac:dyDescent="0.25">
      <c r="A78" s="35">
        <f t="shared" si="8"/>
        <v>75</v>
      </c>
      <c r="B78" s="36">
        <v>24</v>
      </c>
      <c r="C78" s="42" t="s">
        <v>291</v>
      </c>
      <c r="D78" s="36" t="s">
        <v>285</v>
      </c>
      <c r="E78" s="38">
        <v>1413</v>
      </c>
      <c r="F78" s="36">
        <v>1413</v>
      </c>
      <c r="G78" s="38">
        <v>10</v>
      </c>
      <c r="H78" s="36">
        <v>10</v>
      </c>
      <c r="I78" s="36">
        <v>100</v>
      </c>
      <c r="J78" s="60">
        <v>7.0000000000000007E-2</v>
      </c>
      <c r="K78" s="40">
        <f t="shared" si="7"/>
        <v>1.413</v>
      </c>
      <c r="L78" s="40">
        <f t="shared" si="5"/>
        <v>0.4239</v>
      </c>
      <c r="M78" s="40">
        <f t="shared" si="6"/>
        <v>0.98910000000000009</v>
      </c>
      <c r="N78" s="40">
        <f t="shared" si="9"/>
        <v>2.8260000000000001</v>
      </c>
    </row>
    <row r="79" spans="1:14" x14ac:dyDescent="0.25">
      <c r="A79" s="35">
        <f t="shared" si="8"/>
        <v>76</v>
      </c>
      <c r="B79" s="36">
        <v>24</v>
      </c>
      <c r="C79" s="42" t="s">
        <v>291</v>
      </c>
      <c r="D79" s="36" t="s">
        <v>286</v>
      </c>
      <c r="E79" s="38">
        <v>1672</v>
      </c>
      <c r="F79" s="36">
        <v>1672</v>
      </c>
      <c r="G79" s="38">
        <v>10</v>
      </c>
      <c r="H79" s="36">
        <v>10</v>
      </c>
      <c r="I79" s="36">
        <v>100</v>
      </c>
      <c r="J79" s="60">
        <v>7.0000000000000007E-2</v>
      </c>
      <c r="K79" s="40">
        <f t="shared" si="7"/>
        <v>1.6719999999999999</v>
      </c>
      <c r="L79" s="40">
        <f t="shared" si="5"/>
        <v>0.50159999999999993</v>
      </c>
      <c r="M79" s="40">
        <f t="shared" si="6"/>
        <v>1.1704000000000001</v>
      </c>
      <c r="N79" s="40">
        <f t="shared" si="9"/>
        <v>3.3440000000000003</v>
      </c>
    </row>
    <row r="80" spans="1:14" x14ac:dyDescent="0.25">
      <c r="A80" s="35">
        <f t="shared" si="8"/>
        <v>77</v>
      </c>
      <c r="B80" s="36">
        <v>24</v>
      </c>
      <c r="C80" s="42" t="s">
        <v>291</v>
      </c>
      <c r="D80" s="36" t="s">
        <v>287</v>
      </c>
      <c r="E80" s="38">
        <v>1926</v>
      </c>
      <c r="F80" s="36">
        <v>1926</v>
      </c>
      <c r="G80" s="38">
        <v>10</v>
      </c>
      <c r="H80" s="36">
        <v>10</v>
      </c>
      <c r="I80" s="36">
        <v>100</v>
      </c>
      <c r="J80" s="60">
        <v>7.0000000000000007E-2</v>
      </c>
      <c r="K80" s="40">
        <f t="shared" si="7"/>
        <v>1.9259999999999999</v>
      </c>
      <c r="L80" s="40">
        <f t="shared" si="5"/>
        <v>0.57779999999999998</v>
      </c>
      <c r="M80" s="40">
        <f t="shared" si="6"/>
        <v>1.3482000000000003</v>
      </c>
      <c r="N80" s="40">
        <f t="shared" si="9"/>
        <v>3.8520000000000003</v>
      </c>
    </row>
    <row r="81" spans="1:14" x14ac:dyDescent="0.25">
      <c r="A81" s="35">
        <f t="shared" si="8"/>
        <v>78</v>
      </c>
      <c r="B81" s="36">
        <v>24</v>
      </c>
      <c r="C81" s="42" t="s">
        <v>291</v>
      </c>
      <c r="D81" s="36" t="s">
        <v>288</v>
      </c>
      <c r="E81" s="38">
        <v>2185</v>
      </c>
      <c r="F81" s="36">
        <v>2185</v>
      </c>
      <c r="G81" s="38">
        <v>10</v>
      </c>
      <c r="H81" s="36">
        <v>10</v>
      </c>
      <c r="I81" s="36">
        <v>100</v>
      </c>
      <c r="J81" s="60">
        <v>7.0000000000000007E-2</v>
      </c>
      <c r="K81" s="40">
        <f t="shared" si="7"/>
        <v>2.1850000000000001</v>
      </c>
      <c r="L81" s="40">
        <f t="shared" si="5"/>
        <v>0.65549999999999997</v>
      </c>
      <c r="M81" s="40">
        <f t="shared" si="6"/>
        <v>1.5295000000000001</v>
      </c>
      <c r="N81" s="40">
        <f t="shared" si="9"/>
        <v>4.37</v>
      </c>
    </row>
    <row r="82" spans="1:14" x14ac:dyDescent="0.25">
      <c r="A82" s="35">
        <f t="shared" si="8"/>
        <v>79</v>
      </c>
      <c r="B82" s="36">
        <v>24</v>
      </c>
      <c r="C82" s="42" t="s">
        <v>291</v>
      </c>
      <c r="D82" s="36" t="s">
        <v>289</v>
      </c>
      <c r="E82" s="38">
        <v>2439</v>
      </c>
      <c r="F82" s="36">
        <v>2439</v>
      </c>
      <c r="G82" s="38">
        <v>10</v>
      </c>
      <c r="H82" s="36">
        <v>10</v>
      </c>
      <c r="I82" s="36">
        <v>100</v>
      </c>
      <c r="J82" s="60">
        <v>7.0000000000000007E-2</v>
      </c>
      <c r="K82" s="40">
        <f t="shared" si="7"/>
        <v>2.4390000000000001</v>
      </c>
      <c r="L82" s="40">
        <f t="shared" si="5"/>
        <v>0.73170000000000002</v>
      </c>
      <c r="M82" s="40">
        <f t="shared" si="6"/>
        <v>1.7073000000000003</v>
      </c>
      <c r="N82" s="40">
        <f t="shared" si="9"/>
        <v>4.8780000000000001</v>
      </c>
    </row>
    <row r="83" spans="1:14" x14ac:dyDescent="0.25">
      <c r="A83" s="35">
        <f t="shared" si="8"/>
        <v>80</v>
      </c>
      <c r="B83" s="36">
        <v>24</v>
      </c>
      <c r="C83" s="42" t="s">
        <v>291</v>
      </c>
      <c r="D83" s="36" t="s">
        <v>290</v>
      </c>
      <c r="E83" s="38">
        <v>2697</v>
      </c>
      <c r="F83" s="36">
        <v>2697</v>
      </c>
      <c r="G83" s="38">
        <v>10</v>
      </c>
      <c r="H83" s="36">
        <v>10</v>
      </c>
      <c r="I83" s="36">
        <v>100</v>
      </c>
      <c r="J83" s="60">
        <v>7.0000000000000007E-2</v>
      </c>
      <c r="K83" s="40">
        <f t="shared" si="7"/>
        <v>2.6970000000000001</v>
      </c>
      <c r="L83" s="40">
        <f t="shared" si="5"/>
        <v>0.80909999999999993</v>
      </c>
      <c r="M83" s="40">
        <f t="shared" si="6"/>
        <v>1.8879000000000001</v>
      </c>
      <c r="N83" s="40">
        <f t="shared" si="9"/>
        <v>5.3940000000000001</v>
      </c>
    </row>
    <row r="84" spans="1:14" x14ac:dyDescent="0.25">
      <c r="A84" s="35">
        <f t="shared" si="8"/>
        <v>81</v>
      </c>
      <c r="B84" s="36">
        <v>25</v>
      </c>
      <c r="C84" s="42" t="s">
        <v>292</v>
      </c>
      <c r="D84" s="36" t="s">
        <v>293</v>
      </c>
      <c r="E84" s="38">
        <v>1680</v>
      </c>
      <c r="F84" s="36">
        <v>1680</v>
      </c>
      <c r="G84" s="38">
        <v>10</v>
      </c>
      <c r="H84" s="36">
        <v>10</v>
      </c>
      <c r="I84" s="36">
        <v>100</v>
      </c>
      <c r="J84" s="60">
        <v>7.0000000000000007E-2</v>
      </c>
      <c r="K84" s="40">
        <f t="shared" si="7"/>
        <v>1.68</v>
      </c>
      <c r="L84" s="40">
        <f t="shared" si="5"/>
        <v>0.504</v>
      </c>
      <c r="M84" s="40">
        <f t="shared" si="6"/>
        <v>1.1760000000000002</v>
      </c>
      <c r="N84" s="40">
        <f t="shared" si="9"/>
        <v>3.3600000000000003</v>
      </c>
    </row>
    <row r="85" spans="1:14" x14ac:dyDescent="0.25">
      <c r="A85" s="35">
        <f t="shared" si="8"/>
        <v>82</v>
      </c>
      <c r="B85" s="36">
        <v>25</v>
      </c>
      <c r="C85" s="42" t="s">
        <v>292</v>
      </c>
      <c r="D85" s="36" t="s">
        <v>294</v>
      </c>
      <c r="E85" s="38">
        <v>1959</v>
      </c>
      <c r="F85" s="36">
        <v>1959</v>
      </c>
      <c r="G85" s="38">
        <v>10</v>
      </c>
      <c r="H85" s="36">
        <v>10</v>
      </c>
      <c r="I85" s="36">
        <v>100</v>
      </c>
      <c r="J85" s="60">
        <v>7.0000000000000007E-2</v>
      </c>
      <c r="K85" s="40">
        <f t="shared" si="7"/>
        <v>1.9590000000000001</v>
      </c>
      <c r="L85" s="40">
        <f t="shared" si="5"/>
        <v>0.5877</v>
      </c>
      <c r="M85" s="40">
        <f t="shared" si="6"/>
        <v>1.3713000000000002</v>
      </c>
      <c r="N85" s="40">
        <f t="shared" si="9"/>
        <v>3.9180000000000001</v>
      </c>
    </row>
    <row r="86" spans="1:14" x14ac:dyDescent="0.25">
      <c r="A86" s="35">
        <f t="shared" si="8"/>
        <v>83</v>
      </c>
      <c r="B86" s="36">
        <v>25</v>
      </c>
      <c r="C86" s="42" t="s">
        <v>292</v>
      </c>
      <c r="D86" s="36" t="s">
        <v>295</v>
      </c>
      <c r="E86" s="38">
        <v>2314</v>
      </c>
      <c r="F86" s="36">
        <v>2314</v>
      </c>
      <c r="G86" s="38">
        <v>10</v>
      </c>
      <c r="H86" s="36">
        <v>10</v>
      </c>
      <c r="I86" s="36">
        <v>100</v>
      </c>
      <c r="J86" s="60">
        <v>7.0000000000000007E-2</v>
      </c>
      <c r="K86" s="40">
        <f t="shared" si="7"/>
        <v>2.3140000000000001</v>
      </c>
      <c r="L86" s="40">
        <f t="shared" si="5"/>
        <v>0.69420000000000004</v>
      </c>
      <c r="M86" s="40">
        <f t="shared" si="6"/>
        <v>1.6198000000000001</v>
      </c>
      <c r="N86" s="40">
        <f t="shared" si="9"/>
        <v>4.6280000000000001</v>
      </c>
    </row>
    <row r="87" spans="1:14" x14ac:dyDescent="0.25">
      <c r="A87" s="35">
        <f t="shared" si="8"/>
        <v>84</v>
      </c>
      <c r="B87" s="36">
        <v>25</v>
      </c>
      <c r="C87" s="42" t="s">
        <v>292</v>
      </c>
      <c r="D87" s="36" t="s">
        <v>296</v>
      </c>
      <c r="E87" s="38">
        <v>2952</v>
      </c>
      <c r="F87" s="36">
        <v>2950</v>
      </c>
      <c r="G87" s="38">
        <v>10</v>
      </c>
      <c r="H87" s="36">
        <v>10</v>
      </c>
      <c r="I87" s="36">
        <v>100</v>
      </c>
      <c r="J87" s="60">
        <v>7.0000000000000007E-2</v>
      </c>
      <c r="K87" s="40">
        <f t="shared" si="7"/>
        <v>2.95</v>
      </c>
      <c r="L87" s="40">
        <f t="shared" si="5"/>
        <v>0.88500000000000001</v>
      </c>
      <c r="M87" s="40">
        <f t="shared" si="6"/>
        <v>2.0650000000000004</v>
      </c>
      <c r="N87" s="40">
        <f t="shared" si="9"/>
        <v>5.9</v>
      </c>
    </row>
    <row r="88" spans="1:14" x14ac:dyDescent="0.25">
      <c r="A88" s="35">
        <f t="shared" si="8"/>
        <v>85</v>
      </c>
      <c r="B88" s="36">
        <v>25</v>
      </c>
      <c r="C88" s="42" t="s">
        <v>292</v>
      </c>
      <c r="D88" s="36" t="s">
        <v>297</v>
      </c>
      <c r="E88" s="38">
        <v>3589</v>
      </c>
      <c r="F88" s="36">
        <v>3589</v>
      </c>
      <c r="G88" s="38">
        <v>10</v>
      </c>
      <c r="H88" s="36">
        <v>10</v>
      </c>
      <c r="I88" s="36">
        <v>100</v>
      </c>
      <c r="J88" s="60">
        <v>7.0000000000000007E-2</v>
      </c>
      <c r="K88" s="40">
        <f t="shared" si="7"/>
        <v>3.589</v>
      </c>
      <c r="L88" s="40">
        <f t="shared" si="5"/>
        <v>1.0767</v>
      </c>
      <c r="M88" s="40">
        <f t="shared" si="6"/>
        <v>2.5123000000000002</v>
      </c>
      <c r="N88" s="40">
        <f t="shared" si="9"/>
        <v>7.1780000000000008</v>
      </c>
    </row>
    <row r="89" spans="1:14" x14ac:dyDescent="0.25">
      <c r="A89" s="35">
        <f t="shared" si="8"/>
        <v>86</v>
      </c>
      <c r="B89" s="36">
        <v>25</v>
      </c>
      <c r="C89" s="42" t="s">
        <v>292</v>
      </c>
      <c r="D89" s="36" t="s">
        <v>298</v>
      </c>
      <c r="E89" s="38">
        <v>4211</v>
      </c>
      <c r="F89" s="36">
        <v>4211</v>
      </c>
      <c r="G89" s="38">
        <v>10</v>
      </c>
      <c r="H89" s="36">
        <v>10</v>
      </c>
      <c r="I89" s="36">
        <v>100</v>
      </c>
      <c r="J89" s="60">
        <v>7.0000000000000007E-2</v>
      </c>
      <c r="K89" s="40">
        <f t="shared" si="7"/>
        <v>4.2110000000000003</v>
      </c>
      <c r="L89" s="40">
        <f t="shared" si="5"/>
        <v>1.2632999999999999</v>
      </c>
      <c r="M89" s="40">
        <f t="shared" si="6"/>
        <v>2.9477000000000002</v>
      </c>
      <c r="N89" s="40">
        <f t="shared" si="9"/>
        <v>8.4220000000000006</v>
      </c>
    </row>
    <row r="90" spans="1:14" x14ac:dyDescent="0.25">
      <c r="A90" s="35">
        <f t="shared" si="8"/>
        <v>87</v>
      </c>
      <c r="B90" s="36">
        <v>25</v>
      </c>
      <c r="C90" s="42" t="s">
        <v>292</v>
      </c>
      <c r="D90" s="36" t="s">
        <v>299</v>
      </c>
      <c r="E90" s="38">
        <v>4878</v>
      </c>
      <c r="F90" s="36">
        <v>4878</v>
      </c>
      <c r="G90" s="38">
        <v>10</v>
      </c>
      <c r="H90" s="36">
        <v>10</v>
      </c>
      <c r="I90" s="36">
        <v>100</v>
      </c>
      <c r="J90" s="60">
        <v>7.0000000000000007E-2</v>
      </c>
      <c r="K90" s="40">
        <f t="shared" si="7"/>
        <v>4.8780000000000001</v>
      </c>
      <c r="L90" s="40">
        <f t="shared" si="5"/>
        <v>1.4634</v>
      </c>
      <c r="M90" s="40">
        <f t="shared" si="6"/>
        <v>3.4146000000000005</v>
      </c>
      <c r="N90" s="40">
        <f t="shared" si="9"/>
        <v>9.7560000000000002</v>
      </c>
    </row>
    <row r="91" spans="1:14" x14ac:dyDescent="0.25">
      <c r="A91" s="35">
        <f t="shared" si="8"/>
        <v>88</v>
      </c>
      <c r="B91" s="36">
        <v>26</v>
      </c>
      <c r="C91" s="42" t="s">
        <v>300</v>
      </c>
      <c r="D91" s="36" t="s">
        <v>301</v>
      </c>
      <c r="E91" s="38">
        <v>1644</v>
      </c>
      <c r="F91" s="36">
        <v>1644</v>
      </c>
      <c r="G91" s="38">
        <v>10</v>
      </c>
      <c r="H91" s="36">
        <v>10</v>
      </c>
      <c r="I91" s="36">
        <v>100</v>
      </c>
      <c r="J91" s="60">
        <v>0.05</v>
      </c>
      <c r="K91" s="40">
        <f t="shared" si="7"/>
        <v>1.6439999999999999</v>
      </c>
      <c r="L91" s="40">
        <f t="shared" si="5"/>
        <v>0.49320000000000003</v>
      </c>
      <c r="M91" s="40">
        <f t="shared" si="6"/>
        <v>0.82200000000000006</v>
      </c>
      <c r="N91" s="40">
        <f t="shared" si="9"/>
        <v>2.9592000000000001</v>
      </c>
    </row>
    <row r="92" spans="1:14" x14ac:dyDescent="0.25">
      <c r="A92" s="35">
        <f t="shared" si="8"/>
        <v>89</v>
      </c>
      <c r="B92" s="36">
        <v>26</v>
      </c>
      <c r="C92" s="42" t="s">
        <v>300</v>
      </c>
      <c r="D92" s="36" t="s">
        <v>302</v>
      </c>
      <c r="E92" s="38">
        <v>2082</v>
      </c>
      <c r="F92" s="36">
        <v>2082</v>
      </c>
      <c r="G92" s="38">
        <v>10</v>
      </c>
      <c r="H92" s="36">
        <v>10</v>
      </c>
      <c r="I92" s="36">
        <v>100</v>
      </c>
      <c r="J92" s="60">
        <v>0.05</v>
      </c>
      <c r="K92" s="40">
        <f t="shared" si="7"/>
        <v>2.0819999999999999</v>
      </c>
      <c r="L92" s="40">
        <f t="shared" si="5"/>
        <v>0.62459999999999993</v>
      </c>
      <c r="M92" s="40">
        <f t="shared" si="6"/>
        <v>1.0410000000000001</v>
      </c>
      <c r="N92" s="40">
        <f t="shared" si="9"/>
        <v>3.7476000000000003</v>
      </c>
    </row>
    <row r="93" spans="1:14" x14ac:dyDescent="0.25">
      <c r="A93" s="35">
        <f t="shared" si="8"/>
        <v>90</v>
      </c>
      <c r="B93" s="36">
        <v>26</v>
      </c>
      <c r="C93" s="42" t="s">
        <v>300</v>
      </c>
      <c r="D93" s="36" t="s">
        <v>303</v>
      </c>
      <c r="E93" s="38">
        <v>2557</v>
      </c>
      <c r="F93" s="36">
        <v>2557</v>
      </c>
      <c r="G93" s="38">
        <v>10</v>
      </c>
      <c r="H93" s="36">
        <v>10</v>
      </c>
      <c r="I93" s="36">
        <v>100</v>
      </c>
      <c r="J93" s="60">
        <v>0.05</v>
      </c>
      <c r="K93" s="40">
        <f t="shared" si="7"/>
        <v>2.5569999999999999</v>
      </c>
      <c r="L93" s="40">
        <f t="shared" si="5"/>
        <v>0.7671</v>
      </c>
      <c r="M93" s="40">
        <f t="shared" si="6"/>
        <v>1.2785000000000002</v>
      </c>
      <c r="N93" s="40">
        <f t="shared" si="9"/>
        <v>4.6026000000000007</v>
      </c>
    </row>
    <row r="94" spans="1:14" x14ac:dyDescent="0.25">
      <c r="A94" s="35">
        <f t="shared" si="8"/>
        <v>91</v>
      </c>
      <c r="B94" s="36">
        <v>26</v>
      </c>
      <c r="C94" s="42" t="s">
        <v>300</v>
      </c>
      <c r="D94" s="36" t="s">
        <v>304</v>
      </c>
      <c r="E94" s="38">
        <v>3032</v>
      </c>
      <c r="F94" s="36">
        <v>3032</v>
      </c>
      <c r="G94" s="38">
        <v>10</v>
      </c>
      <c r="H94" s="36">
        <v>10</v>
      </c>
      <c r="I94" s="36">
        <v>100</v>
      </c>
      <c r="J94" s="60">
        <v>0.05</v>
      </c>
      <c r="K94" s="40">
        <f t="shared" si="7"/>
        <v>3.032</v>
      </c>
      <c r="L94" s="40">
        <f t="shared" si="5"/>
        <v>0.90959999999999996</v>
      </c>
      <c r="M94" s="40">
        <f t="shared" si="6"/>
        <v>1.516</v>
      </c>
      <c r="N94" s="40">
        <f t="shared" si="9"/>
        <v>5.4576000000000002</v>
      </c>
    </row>
    <row r="95" spans="1:14" x14ac:dyDescent="0.25">
      <c r="A95" s="35">
        <f t="shared" si="8"/>
        <v>92</v>
      </c>
      <c r="B95" s="36">
        <v>26</v>
      </c>
      <c r="C95" s="42" t="s">
        <v>300</v>
      </c>
      <c r="D95" s="36" t="s">
        <v>305</v>
      </c>
      <c r="E95" s="38">
        <v>3507</v>
      </c>
      <c r="F95" s="36">
        <v>3507</v>
      </c>
      <c r="G95" s="38">
        <v>10</v>
      </c>
      <c r="H95" s="36">
        <v>10</v>
      </c>
      <c r="I95" s="36">
        <v>100</v>
      </c>
      <c r="J95" s="60">
        <v>0.05</v>
      </c>
      <c r="K95" s="40">
        <f t="shared" si="7"/>
        <v>3.5070000000000001</v>
      </c>
      <c r="L95" s="40">
        <f t="shared" si="5"/>
        <v>1.0521</v>
      </c>
      <c r="M95" s="40">
        <f t="shared" si="6"/>
        <v>1.7535000000000003</v>
      </c>
      <c r="N95" s="40">
        <f t="shared" si="9"/>
        <v>6.3125999999999998</v>
      </c>
    </row>
    <row r="96" spans="1:14" x14ac:dyDescent="0.25">
      <c r="A96" s="35">
        <f t="shared" si="8"/>
        <v>93</v>
      </c>
      <c r="B96" s="36">
        <v>27</v>
      </c>
      <c r="C96" s="42" t="s">
        <v>306</v>
      </c>
      <c r="D96" s="36" t="s">
        <v>301</v>
      </c>
      <c r="E96" s="38">
        <v>2448</v>
      </c>
      <c r="F96" s="36">
        <v>2448</v>
      </c>
      <c r="G96" s="38">
        <v>10</v>
      </c>
      <c r="H96" s="36">
        <v>10</v>
      </c>
      <c r="I96" s="36">
        <v>100</v>
      </c>
      <c r="J96" s="60">
        <v>0.05</v>
      </c>
      <c r="K96" s="40">
        <f t="shared" si="7"/>
        <v>2.448</v>
      </c>
      <c r="L96" s="40">
        <f t="shared" si="5"/>
        <v>0.73439999999999994</v>
      </c>
      <c r="M96" s="40">
        <f t="shared" si="6"/>
        <v>1.224</v>
      </c>
      <c r="N96" s="40">
        <f t="shared" si="9"/>
        <v>4.4063999999999997</v>
      </c>
    </row>
    <row r="97" spans="1:14" x14ac:dyDescent="0.25">
      <c r="A97" s="35">
        <f t="shared" si="8"/>
        <v>94</v>
      </c>
      <c r="B97" s="36">
        <v>27</v>
      </c>
      <c r="C97" s="42" t="s">
        <v>306</v>
      </c>
      <c r="D97" s="36" t="s">
        <v>302</v>
      </c>
      <c r="E97" s="38">
        <v>3142</v>
      </c>
      <c r="F97" s="36">
        <v>3142</v>
      </c>
      <c r="G97" s="38">
        <v>10</v>
      </c>
      <c r="H97" s="36">
        <v>10</v>
      </c>
      <c r="I97" s="36">
        <v>100</v>
      </c>
      <c r="J97" s="60">
        <v>0.05</v>
      </c>
      <c r="K97" s="40">
        <f t="shared" si="7"/>
        <v>3.1419999999999999</v>
      </c>
      <c r="L97" s="40">
        <f t="shared" si="5"/>
        <v>0.94259999999999999</v>
      </c>
      <c r="M97" s="40">
        <f t="shared" si="6"/>
        <v>1.5710000000000002</v>
      </c>
      <c r="N97" s="40">
        <f t="shared" si="9"/>
        <v>5.6555999999999997</v>
      </c>
    </row>
    <row r="98" spans="1:14" x14ac:dyDescent="0.25">
      <c r="A98" s="35">
        <f t="shared" si="8"/>
        <v>95</v>
      </c>
      <c r="B98" s="36">
        <v>27</v>
      </c>
      <c r="C98" s="42" t="s">
        <v>306</v>
      </c>
      <c r="D98" s="36" t="s">
        <v>303</v>
      </c>
      <c r="E98" s="38">
        <v>3872</v>
      </c>
      <c r="F98" s="36">
        <v>3872</v>
      </c>
      <c r="G98" s="38">
        <v>10</v>
      </c>
      <c r="H98" s="36">
        <v>10</v>
      </c>
      <c r="I98" s="36">
        <v>100</v>
      </c>
      <c r="J98" s="60">
        <v>0.05</v>
      </c>
      <c r="K98" s="40">
        <f t="shared" si="7"/>
        <v>3.8719999999999999</v>
      </c>
      <c r="L98" s="40">
        <f t="shared" si="5"/>
        <v>1.1616</v>
      </c>
      <c r="M98" s="40">
        <f t="shared" si="6"/>
        <v>1.9360000000000002</v>
      </c>
      <c r="N98" s="40">
        <f t="shared" si="9"/>
        <v>6.9695999999999998</v>
      </c>
    </row>
    <row r="99" spans="1:14" x14ac:dyDescent="0.25">
      <c r="A99" s="35">
        <f t="shared" si="8"/>
        <v>96</v>
      </c>
      <c r="B99" s="36">
        <v>27</v>
      </c>
      <c r="C99" s="42" t="s">
        <v>306</v>
      </c>
      <c r="D99" s="36" t="s">
        <v>304</v>
      </c>
      <c r="E99" s="38">
        <v>4566</v>
      </c>
      <c r="F99" s="36">
        <v>4566</v>
      </c>
      <c r="G99" s="38">
        <v>10</v>
      </c>
      <c r="H99" s="36">
        <v>10</v>
      </c>
      <c r="I99" s="36">
        <v>100</v>
      </c>
      <c r="J99" s="60">
        <v>0.05</v>
      </c>
      <c r="K99" s="40">
        <f t="shared" si="7"/>
        <v>4.5659999999999998</v>
      </c>
      <c r="L99" s="40">
        <f t="shared" si="5"/>
        <v>1.3697999999999999</v>
      </c>
      <c r="M99" s="40">
        <f t="shared" si="6"/>
        <v>2.2829999999999999</v>
      </c>
      <c r="N99" s="40">
        <f t="shared" si="9"/>
        <v>8.2187999999999999</v>
      </c>
    </row>
    <row r="100" spans="1:14" x14ac:dyDescent="0.25">
      <c r="A100" s="35">
        <f t="shared" si="8"/>
        <v>97</v>
      </c>
      <c r="B100" s="36">
        <v>27</v>
      </c>
      <c r="C100" s="42" t="s">
        <v>306</v>
      </c>
      <c r="D100" s="36" t="s">
        <v>305</v>
      </c>
      <c r="E100" s="38">
        <v>5260</v>
      </c>
      <c r="F100" s="36">
        <v>5260</v>
      </c>
      <c r="G100" s="38">
        <v>10</v>
      </c>
      <c r="H100" s="36">
        <v>10</v>
      </c>
      <c r="I100" s="36">
        <v>100</v>
      </c>
      <c r="J100" s="60">
        <v>0.05</v>
      </c>
      <c r="K100" s="40">
        <f t="shared" si="7"/>
        <v>5.26</v>
      </c>
      <c r="L100" s="40">
        <f t="shared" si="5"/>
        <v>1.5780000000000001</v>
      </c>
      <c r="M100" s="40">
        <f t="shared" si="6"/>
        <v>2.63</v>
      </c>
      <c r="N100" s="40">
        <f t="shared" si="9"/>
        <v>9.468</v>
      </c>
    </row>
    <row r="101" spans="1:14" x14ac:dyDescent="0.25">
      <c r="A101" s="35">
        <f t="shared" si="8"/>
        <v>98</v>
      </c>
      <c r="B101" s="36">
        <v>28</v>
      </c>
      <c r="C101" s="42" t="s">
        <v>307</v>
      </c>
      <c r="D101" s="36" t="s">
        <v>278</v>
      </c>
      <c r="E101" s="38">
        <v>588</v>
      </c>
      <c r="F101" s="36">
        <v>588</v>
      </c>
      <c r="G101" s="38">
        <v>10</v>
      </c>
      <c r="H101" s="36">
        <v>10</v>
      </c>
      <c r="I101" s="36">
        <v>100</v>
      </c>
      <c r="J101" s="60">
        <v>7.0000000000000007E-2</v>
      </c>
      <c r="K101" s="40">
        <f t="shared" si="7"/>
        <v>0.58799999999999997</v>
      </c>
      <c r="L101" s="40">
        <f t="shared" si="5"/>
        <v>0.1764</v>
      </c>
      <c r="M101" s="40">
        <f t="shared" si="6"/>
        <v>0.41160000000000002</v>
      </c>
      <c r="N101" s="40">
        <f t="shared" si="9"/>
        <v>1.1759999999999999</v>
      </c>
    </row>
    <row r="102" spans="1:14" x14ac:dyDescent="0.25">
      <c r="A102" s="35">
        <f t="shared" si="8"/>
        <v>99</v>
      </c>
      <c r="B102" s="36">
        <v>28</v>
      </c>
      <c r="C102" s="42" t="s">
        <v>307</v>
      </c>
      <c r="D102" s="36" t="s">
        <v>279</v>
      </c>
      <c r="E102" s="38">
        <v>850</v>
      </c>
      <c r="F102" s="36">
        <v>850</v>
      </c>
      <c r="G102" s="38">
        <v>10</v>
      </c>
      <c r="H102" s="36">
        <v>10</v>
      </c>
      <c r="I102" s="36">
        <v>100</v>
      </c>
      <c r="J102" s="60">
        <v>7.0000000000000007E-2</v>
      </c>
      <c r="K102" s="40">
        <f t="shared" si="7"/>
        <v>0.85</v>
      </c>
      <c r="L102" s="40">
        <f t="shared" si="5"/>
        <v>0.255</v>
      </c>
      <c r="M102" s="40">
        <f t="shared" si="6"/>
        <v>0.59500000000000008</v>
      </c>
      <c r="N102" s="40">
        <f t="shared" si="9"/>
        <v>1.7000000000000002</v>
      </c>
    </row>
    <row r="103" spans="1:14" x14ac:dyDescent="0.25">
      <c r="A103" s="35">
        <f t="shared" si="8"/>
        <v>100</v>
      </c>
      <c r="B103" s="36">
        <v>28</v>
      </c>
      <c r="C103" s="42" t="s">
        <v>307</v>
      </c>
      <c r="D103" s="36" t="s">
        <v>280</v>
      </c>
      <c r="E103" s="38">
        <v>1113</v>
      </c>
      <c r="F103" s="36">
        <v>1110</v>
      </c>
      <c r="G103" s="38">
        <v>10</v>
      </c>
      <c r="H103" s="36">
        <v>10</v>
      </c>
      <c r="I103" s="36">
        <v>100</v>
      </c>
      <c r="J103" s="60">
        <v>7.0000000000000007E-2</v>
      </c>
      <c r="K103" s="40">
        <f t="shared" si="7"/>
        <v>1.1100000000000001</v>
      </c>
      <c r="L103" s="40">
        <f t="shared" si="5"/>
        <v>0.33299999999999996</v>
      </c>
      <c r="M103" s="40">
        <f t="shared" si="6"/>
        <v>0.77700000000000002</v>
      </c>
      <c r="N103" s="40">
        <f t="shared" si="9"/>
        <v>2.2200000000000002</v>
      </c>
    </row>
    <row r="104" spans="1:14" x14ac:dyDescent="0.25">
      <c r="A104" s="35">
        <f t="shared" si="8"/>
        <v>101</v>
      </c>
      <c r="B104" s="36">
        <v>28</v>
      </c>
      <c r="C104" s="42" t="s">
        <v>307</v>
      </c>
      <c r="D104" s="36" t="s">
        <v>308</v>
      </c>
      <c r="E104" s="38">
        <v>1376</v>
      </c>
      <c r="F104" s="36">
        <v>1376</v>
      </c>
      <c r="G104" s="38">
        <v>10</v>
      </c>
      <c r="H104" s="36">
        <v>10</v>
      </c>
      <c r="I104" s="36">
        <v>100</v>
      </c>
      <c r="J104" s="60">
        <v>7.0000000000000007E-2</v>
      </c>
      <c r="K104" s="40">
        <f t="shared" si="7"/>
        <v>1.3759999999999999</v>
      </c>
      <c r="L104" s="40">
        <f t="shared" si="5"/>
        <v>0.4128</v>
      </c>
      <c r="M104" s="40">
        <f t="shared" si="6"/>
        <v>0.96320000000000006</v>
      </c>
      <c r="N104" s="40">
        <f t="shared" si="9"/>
        <v>2.7519999999999998</v>
      </c>
    </row>
    <row r="105" spans="1:14" x14ac:dyDescent="0.25">
      <c r="A105" s="35">
        <f t="shared" si="8"/>
        <v>102</v>
      </c>
      <c r="B105" s="36">
        <v>29</v>
      </c>
      <c r="C105" s="42" t="s">
        <v>309</v>
      </c>
      <c r="D105" s="36" t="s">
        <v>310</v>
      </c>
      <c r="E105" s="38">
        <v>1688</v>
      </c>
      <c r="F105" s="36">
        <v>1688</v>
      </c>
      <c r="G105" s="38">
        <v>10</v>
      </c>
      <c r="H105" s="36">
        <v>10</v>
      </c>
      <c r="I105" s="36">
        <v>100</v>
      </c>
      <c r="J105" s="60">
        <v>0.01</v>
      </c>
      <c r="K105" s="40">
        <f t="shared" si="7"/>
        <v>1.6879999999999999</v>
      </c>
      <c r="L105" s="40">
        <f t="shared" si="5"/>
        <v>0.50639999999999996</v>
      </c>
      <c r="M105" s="40">
        <f t="shared" si="6"/>
        <v>0.16879999999999998</v>
      </c>
      <c r="N105" s="40">
        <f t="shared" si="9"/>
        <v>2.3632</v>
      </c>
    </row>
    <row r="106" spans="1:14" x14ac:dyDescent="0.25">
      <c r="A106" s="35">
        <f t="shared" si="8"/>
        <v>103</v>
      </c>
      <c r="B106" s="36">
        <v>29</v>
      </c>
      <c r="C106" s="42" t="s">
        <v>309</v>
      </c>
      <c r="D106" s="36" t="s">
        <v>311</v>
      </c>
      <c r="E106" s="38">
        <v>2172</v>
      </c>
      <c r="F106" s="36">
        <v>2172</v>
      </c>
      <c r="G106" s="38">
        <v>10</v>
      </c>
      <c r="H106" s="36">
        <v>10</v>
      </c>
      <c r="I106" s="36">
        <v>100</v>
      </c>
      <c r="J106" s="60">
        <v>0.01</v>
      </c>
      <c r="K106" s="40">
        <f t="shared" si="7"/>
        <v>2.1720000000000002</v>
      </c>
      <c r="L106" s="40">
        <f t="shared" si="5"/>
        <v>0.65159999999999996</v>
      </c>
      <c r="M106" s="40">
        <f t="shared" si="6"/>
        <v>0.21719999999999998</v>
      </c>
      <c r="N106" s="40">
        <f t="shared" si="9"/>
        <v>3.0407999999999999</v>
      </c>
    </row>
    <row r="107" spans="1:14" x14ac:dyDescent="0.25">
      <c r="A107" s="35">
        <f t="shared" si="8"/>
        <v>104</v>
      </c>
      <c r="B107" s="36">
        <v>29</v>
      </c>
      <c r="C107" s="42" t="s">
        <v>309</v>
      </c>
      <c r="D107" s="36" t="s">
        <v>234</v>
      </c>
      <c r="E107" s="38">
        <v>2656</v>
      </c>
      <c r="F107" s="36">
        <v>2656</v>
      </c>
      <c r="G107" s="38">
        <v>10</v>
      </c>
      <c r="H107" s="36">
        <v>10</v>
      </c>
      <c r="I107" s="36">
        <v>100</v>
      </c>
      <c r="J107" s="60">
        <v>0.01</v>
      </c>
      <c r="K107" s="40">
        <f t="shared" si="7"/>
        <v>2.6560000000000001</v>
      </c>
      <c r="L107" s="40">
        <f t="shared" si="5"/>
        <v>0.79679999999999995</v>
      </c>
      <c r="M107" s="40">
        <f t="shared" si="6"/>
        <v>0.2656</v>
      </c>
      <c r="N107" s="40">
        <f t="shared" si="9"/>
        <v>3.7183999999999999</v>
      </c>
    </row>
    <row r="108" spans="1:14" x14ac:dyDescent="0.25">
      <c r="A108" s="35">
        <f t="shared" si="8"/>
        <v>105</v>
      </c>
      <c r="B108" s="36">
        <v>30</v>
      </c>
      <c r="C108" s="42" t="s">
        <v>312</v>
      </c>
      <c r="D108" s="36" t="s">
        <v>313</v>
      </c>
      <c r="E108" s="38">
        <v>1936</v>
      </c>
      <c r="F108" s="36">
        <v>1930</v>
      </c>
      <c r="G108" s="38">
        <v>10</v>
      </c>
      <c r="H108" s="36">
        <v>10</v>
      </c>
      <c r="I108" s="36">
        <v>100</v>
      </c>
      <c r="J108" s="60">
        <v>0.05</v>
      </c>
      <c r="K108" s="40">
        <f t="shared" si="7"/>
        <v>1.93</v>
      </c>
      <c r="L108" s="40">
        <f t="shared" si="5"/>
        <v>0.57899999999999996</v>
      </c>
      <c r="M108" s="40">
        <f t="shared" si="6"/>
        <v>0.96499999999999997</v>
      </c>
      <c r="N108" s="40">
        <f t="shared" si="9"/>
        <v>3.4739999999999998</v>
      </c>
    </row>
    <row r="109" spans="1:14" x14ac:dyDescent="0.25">
      <c r="A109" s="35">
        <f t="shared" si="8"/>
        <v>106</v>
      </c>
      <c r="B109" s="36">
        <v>31</v>
      </c>
      <c r="C109" s="42" t="s">
        <v>546</v>
      </c>
      <c r="D109" s="36" t="s">
        <v>278</v>
      </c>
      <c r="E109" s="38">
        <v>2849</v>
      </c>
      <c r="F109" s="36">
        <v>2849</v>
      </c>
      <c r="G109" s="38">
        <v>10</v>
      </c>
      <c r="H109" s="36">
        <v>10</v>
      </c>
      <c r="I109" s="36">
        <v>100</v>
      </c>
      <c r="J109" s="60">
        <v>0.05</v>
      </c>
      <c r="K109" s="40">
        <f t="shared" si="7"/>
        <v>2.8490000000000002</v>
      </c>
      <c r="L109" s="40">
        <f t="shared" si="5"/>
        <v>0.8546999999999999</v>
      </c>
      <c r="M109" s="40">
        <f t="shared" si="6"/>
        <v>1.4245000000000001</v>
      </c>
      <c r="N109" s="40">
        <f t="shared" si="9"/>
        <v>5.1281999999999996</v>
      </c>
    </row>
    <row r="110" spans="1:14" x14ac:dyDescent="0.25">
      <c r="A110" s="35">
        <f t="shared" si="8"/>
        <v>107</v>
      </c>
      <c r="B110" s="36">
        <v>32</v>
      </c>
      <c r="C110" s="42" t="s">
        <v>547</v>
      </c>
      <c r="D110" s="36" t="s">
        <v>314</v>
      </c>
      <c r="E110" s="38">
        <v>3105</v>
      </c>
      <c r="F110" s="36">
        <v>3105</v>
      </c>
      <c r="G110" s="38">
        <v>10</v>
      </c>
      <c r="H110" s="36">
        <v>10</v>
      </c>
      <c r="I110" s="36">
        <v>100</v>
      </c>
      <c r="J110" s="60">
        <v>0.05</v>
      </c>
      <c r="K110" s="40">
        <f t="shared" si="7"/>
        <v>3.105</v>
      </c>
      <c r="L110" s="40">
        <f t="shared" si="5"/>
        <v>0.93149999999999999</v>
      </c>
      <c r="M110" s="40">
        <f t="shared" si="6"/>
        <v>1.5525</v>
      </c>
      <c r="N110" s="40">
        <f t="shared" si="9"/>
        <v>5.5890000000000004</v>
      </c>
    </row>
    <row r="111" spans="1:14" x14ac:dyDescent="0.25">
      <c r="A111" s="35">
        <f t="shared" si="8"/>
        <v>108</v>
      </c>
      <c r="B111" s="36">
        <v>32</v>
      </c>
      <c r="C111" s="42" t="s">
        <v>547</v>
      </c>
      <c r="D111" s="36" t="s">
        <v>315</v>
      </c>
      <c r="E111" s="38">
        <v>3690</v>
      </c>
      <c r="F111" s="36">
        <v>3690</v>
      </c>
      <c r="G111" s="38">
        <v>10</v>
      </c>
      <c r="H111" s="36">
        <v>10</v>
      </c>
      <c r="I111" s="36">
        <v>100</v>
      </c>
      <c r="J111" s="60">
        <v>0.05</v>
      </c>
      <c r="K111" s="40">
        <f t="shared" si="7"/>
        <v>3.69</v>
      </c>
      <c r="L111" s="40">
        <f t="shared" si="5"/>
        <v>1.107</v>
      </c>
      <c r="M111" s="40">
        <f t="shared" si="6"/>
        <v>1.845</v>
      </c>
      <c r="N111" s="40">
        <f t="shared" si="9"/>
        <v>6.6419999999999995</v>
      </c>
    </row>
    <row r="112" spans="1:14" x14ac:dyDescent="0.25">
      <c r="A112" s="35">
        <f t="shared" si="8"/>
        <v>109</v>
      </c>
      <c r="B112" s="36">
        <v>33</v>
      </c>
      <c r="C112" s="42" t="s">
        <v>316</v>
      </c>
      <c r="D112" s="36" t="s">
        <v>317</v>
      </c>
      <c r="E112" s="38">
        <v>7416</v>
      </c>
      <c r="F112" s="36">
        <v>7416</v>
      </c>
      <c r="G112" s="38">
        <v>10</v>
      </c>
      <c r="H112" s="36">
        <v>10</v>
      </c>
      <c r="I112" s="36">
        <v>100</v>
      </c>
      <c r="J112" s="60">
        <v>0.03</v>
      </c>
      <c r="K112" s="40">
        <f t="shared" si="7"/>
        <v>7.4160000000000004</v>
      </c>
      <c r="L112" s="40">
        <f t="shared" si="5"/>
        <v>2.2247999999999997</v>
      </c>
      <c r="M112" s="40">
        <f t="shared" si="6"/>
        <v>2.2248000000000001</v>
      </c>
      <c r="N112" s="40">
        <f t="shared" si="9"/>
        <v>11.865600000000001</v>
      </c>
    </row>
    <row r="113" spans="1:14" x14ac:dyDescent="0.25">
      <c r="A113" s="35">
        <f t="shared" si="8"/>
        <v>110</v>
      </c>
      <c r="B113" s="36">
        <v>33</v>
      </c>
      <c r="C113" s="42" t="s">
        <v>316</v>
      </c>
      <c r="D113" s="36" t="s">
        <v>318</v>
      </c>
      <c r="E113" s="38">
        <v>9900</v>
      </c>
      <c r="F113" s="36">
        <v>9900</v>
      </c>
      <c r="G113" s="38">
        <v>10</v>
      </c>
      <c r="H113" s="36">
        <v>10</v>
      </c>
      <c r="I113" s="36">
        <v>100</v>
      </c>
      <c r="J113" s="60">
        <v>0.03</v>
      </c>
      <c r="K113" s="40">
        <f t="shared" si="7"/>
        <v>9.9</v>
      </c>
      <c r="L113" s="40">
        <f t="shared" si="5"/>
        <v>2.9699999999999998</v>
      </c>
      <c r="M113" s="40">
        <f t="shared" si="6"/>
        <v>2.97</v>
      </c>
      <c r="N113" s="40">
        <f t="shared" si="9"/>
        <v>15.840000000000002</v>
      </c>
    </row>
    <row r="114" spans="1:14" x14ac:dyDescent="0.25">
      <c r="A114" s="35">
        <f t="shared" si="8"/>
        <v>111</v>
      </c>
      <c r="B114" s="36">
        <v>33</v>
      </c>
      <c r="C114" s="42" t="s">
        <v>316</v>
      </c>
      <c r="D114" s="36" t="s">
        <v>225</v>
      </c>
      <c r="E114" s="38">
        <v>12420</v>
      </c>
      <c r="F114" s="36">
        <v>12420</v>
      </c>
      <c r="G114" s="38">
        <v>10</v>
      </c>
      <c r="H114" s="36">
        <v>10</v>
      </c>
      <c r="I114" s="36">
        <v>100</v>
      </c>
      <c r="J114" s="60">
        <v>0.03</v>
      </c>
      <c r="K114" s="40">
        <f t="shared" si="7"/>
        <v>12.42</v>
      </c>
      <c r="L114" s="40">
        <f t="shared" si="5"/>
        <v>3.726</v>
      </c>
      <c r="M114" s="40">
        <f t="shared" si="6"/>
        <v>3.7259999999999995</v>
      </c>
      <c r="N114" s="40">
        <f t="shared" si="9"/>
        <v>19.872</v>
      </c>
    </row>
    <row r="115" spans="1:14" x14ac:dyDescent="0.25">
      <c r="A115" s="35">
        <f t="shared" si="8"/>
        <v>112</v>
      </c>
      <c r="B115" s="36">
        <v>33</v>
      </c>
      <c r="C115" s="42" t="s">
        <v>316</v>
      </c>
      <c r="D115" s="36" t="s">
        <v>226</v>
      </c>
      <c r="E115" s="38">
        <v>14905</v>
      </c>
      <c r="F115" s="36">
        <v>14905</v>
      </c>
      <c r="G115" s="38">
        <v>10</v>
      </c>
      <c r="H115" s="36">
        <v>10</v>
      </c>
      <c r="I115" s="36">
        <v>100</v>
      </c>
      <c r="J115" s="60">
        <v>0.03</v>
      </c>
      <c r="K115" s="40">
        <f t="shared" si="7"/>
        <v>14.904999999999999</v>
      </c>
      <c r="L115" s="40">
        <f t="shared" si="5"/>
        <v>4.4714999999999998</v>
      </c>
      <c r="M115" s="40">
        <f t="shared" si="6"/>
        <v>4.4714999999999998</v>
      </c>
      <c r="N115" s="40">
        <f t="shared" si="9"/>
        <v>23.847999999999999</v>
      </c>
    </row>
    <row r="116" spans="1:14" x14ac:dyDescent="0.25">
      <c r="A116" s="35">
        <f t="shared" si="8"/>
        <v>113</v>
      </c>
      <c r="B116" s="36">
        <v>34</v>
      </c>
      <c r="C116" s="42" t="s">
        <v>548</v>
      </c>
      <c r="D116" s="36" t="s">
        <v>234</v>
      </c>
      <c r="E116" s="38">
        <v>16475</v>
      </c>
      <c r="F116" s="36">
        <v>16475</v>
      </c>
      <c r="G116" s="38">
        <v>10</v>
      </c>
      <c r="H116" s="36">
        <v>10</v>
      </c>
      <c r="I116" s="36">
        <v>100</v>
      </c>
      <c r="J116" s="60">
        <v>1.6E-2</v>
      </c>
      <c r="K116" s="40">
        <f t="shared" si="7"/>
        <v>16.475000000000001</v>
      </c>
      <c r="L116" s="40">
        <f t="shared" si="5"/>
        <v>4.9424999999999999</v>
      </c>
      <c r="M116" s="40">
        <f t="shared" si="6"/>
        <v>2.6360000000000001</v>
      </c>
      <c r="N116" s="40">
        <f t="shared" si="9"/>
        <v>24.0535</v>
      </c>
    </row>
    <row r="117" spans="1:14" x14ac:dyDescent="0.25">
      <c r="A117" s="35">
        <f t="shared" si="8"/>
        <v>114</v>
      </c>
      <c r="B117" s="36">
        <v>34</v>
      </c>
      <c r="C117" s="42" t="s">
        <v>548</v>
      </c>
      <c r="D117" s="36" t="s">
        <v>319</v>
      </c>
      <c r="E117" s="38">
        <v>18959</v>
      </c>
      <c r="F117" s="36">
        <v>18959</v>
      </c>
      <c r="G117" s="38">
        <v>10</v>
      </c>
      <c r="H117" s="36">
        <v>10</v>
      </c>
      <c r="I117" s="36">
        <v>100</v>
      </c>
      <c r="J117" s="60">
        <v>1.6E-2</v>
      </c>
      <c r="K117" s="40">
        <f t="shared" si="7"/>
        <v>18.959</v>
      </c>
      <c r="L117" s="40">
        <f t="shared" si="5"/>
        <v>5.6876999999999995</v>
      </c>
      <c r="M117" s="40">
        <f t="shared" si="6"/>
        <v>3.0334400000000001</v>
      </c>
      <c r="N117" s="40">
        <f t="shared" si="9"/>
        <v>27.680139999999998</v>
      </c>
    </row>
    <row r="118" spans="1:14" x14ac:dyDescent="0.25">
      <c r="A118" s="35">
        <f t="shared" si="8"/>
        <v>115</v>
      </c>
      <c r="B118" s="36">
        <v>35</v>
      </c>
      <c r="C118" s="42" t="s">
        <v>320</v>
      </c>
      <c r="D118" s="36" t="s">
        <v>230</v>
      </c>
      <c r="E118" s="38">
        <v>3909</v>
      </c>
      <c r="F118" s="36">
        <v>3909</v>
      </c>
      <c r="G118" s="38">
        <v>10</v>
      </c>
      <c r="H118" s="36">
        <v>10</v>
      </c>
      <c r="I118" s="36">
        <v>100</v>
      </c>
      <c r="J118" s="60">
        <v>0.03</v>
      </c>
      <c r="K118" s="40">
        <f t="shared" si="7"/>
        <v>3.9089999999999998</v>
      </c>
      <c r="L118" s="40">
        <f t="shared" si="5"/>
        <v>1.1727000000000001</v>
      </c>
      <c r="M118" s="40">
        <f t="shared" si="6"/>
        <v>1.1726999999999999</v>
      </c>
      <c r="N118" s="40">
        <f t="shared" si="9"/>
        <v>6.2543999999999995</v>
      </c>
    </row>
    <row r="119" spans="1:14" x14ac:dyDescent="0.25">
      <c r="A119" s="35">
        <f t="shared" si="8"/>
        <v>116</v>
      </c>
      <c r="B119" s="36">
        <v>36</v>
      </c>
      <c r="C119" s="42" t="s">
        <v>549</v>
      </c>
      <c r="D119" s="36" t="s">
        <v>321</v>
      </c>
      <c r="E119" s="38">
        <v>4639</v>
      </c>
      <c r="F119" s="36">
        <v>4639</v>
      </c>
      <c r="G119" s="38">
        <v>10</v>
      </c>
      <c r="H119" s="36">
        <v>10</v>
      </c>
      <c r="I119" s="36">
        <v>100</v>
      </c>
      <c r="J119" s="60">
        <v>0.03</v>
      </c>
      <c r="K119" s="40">
        <f t="shared" si="7"/>
        <v>4.6390000000000002</v>
      </c>
      <c r="L119" s="40">
        <f t="shared" si="5"/>
        <v>1.3916999999999999</v>
      </c>
      <c r="M119" s="40">
        <f t="shared" si="6"/>
        <v>1.3916999999999999</v>
      </c>
      <c r="N119" s="40">
        <f t="shared" si="9"/>
        <v>7.4224000000000006</v>
      </c>
    </row>
    <row r="120" spans="1:14" x14ac:dyDescent="0.25">
      <c r="A120" s="35">
        <f t="shared" si="8"/>
        <v>117</v>
      </c>
      <c r="B120" s="36">
        <v>36</v>
      </c>
      <c r="C120" s="42" t="s">
        <v>549</v>
      </c>
      <c r="D120" s="36" t="s">
        <v>322</v>
      </c>
      <c r="E120" s="38">
        <v>5955</v>
      </c>
      <c r="F120" s="36">
        <v>5950</v>
      </c>
      <c r="G120" s="38">
        <v>10</v>
      </c>
      <c r="H120" s="36">
        <v>10</v>
      </c>
      <c r="I120" s="36">
        <v>100</v>
      </c>
      <c r="J120" s="60">
        <v>0.03</v>
      </c>
      <c r="K120" s="40">
        <f t="shared" si="7"/>
        <v>5.95</v>
      </c>
      <c r="L120" s="40">
        <f t="shared" si="5"/>
        <v>1.7849999999999999</v>
      </c>
      <c r="M120" s="40">
        <f t="shared" si="6"/>
        <v>1.7849999999999999</v>
      </c>
      <c r="N120" s="40">
        <f t="shared" si="9"/>
        <v>9.52</v>
      </c>
    </row>
    <row r="121" spans="1:14" x14ac:dyDescent="0.25">
      <c r="A121" s="35">
        <f t="shared" si="8"/>
        <v>118</v>
      </c>
      <c r="B121" s="36">
        <v>36</v>
      </c>
      <c r="C121" s="42" t="s">
        <v>549</v>
      </c>
      <c r="D121" s="36" t="s">
        <v>314</v>
      </c>
      <c r="E121" s="38">
        <v>7270</v>
      </c>
      <c r="F121" s="36">
        <v>7270</v>
      </c>
      <c r="G121" s="38">
        <v>10</v>
      </c>
      <c r="H121" s="36">
        <v>10</v>
      </c>
      <c r="I121" s="36">
        <v>100</v>
      </c>
      <c r="J121" s="60">
        <v>0.03</v>
      </c>
      <c r="K121" s="40">
        <f t="shared" si="7"/>
        <v>7.27</v>
      </c>
      <c r="L121" s="40">
        <f t="shared" si="5"/>
        <v>2.181</v>
      </c>
      <c r="M121" s="40">
        <f t="shared" si="6"/>
        <v>2.181</v>
      </c>
      <c r="N121" s="40">
        <f t="shared" si="9"/>
        <v>11.632000000000001</v>
      </c>
    </row>
    <row r="122" spans="1:14" x14ac:dyDescent="0.25">
      <c r="A122" s="35">
        <f t="shared" si="8"/>
        <v>119</v>
      </c>
      <c r="B122" s="36">
        <v>36</v>
      </c>
      <c r="C122" s="42" t="s">
        <v>549</v>
      </c>
      <c r="D122" s="36" t="s">
        <v>323</v>
      </c>
      <c r="E122" s="38">
        <v>8585</v>
      </c>
      <c r="F122" s="36">
        <v>8585</v>
      </c>
      <c r="G122" s="38">
        <v>10</v>
      </c>
      <c r="H122" s="36">
        <v>10</v>
      </c>
      <c r="I122" s="36">
        <v>100</v>
      </c>
      <c r="J122" s="60">
        <v>0.03</v>
      </c>
      <c r="K122" s="40">
        <f t="shared" si="7"/>
        <v>8.5850000000000009</v>
      </c>
      <c r="L122" s="40">
        <f t="shared" si="5"/>
        <v>2.5754999999999999</v>
      </c>
      <c r="M122" s="40">
        <f t="shared" si="6"/>
        <v>2.5754999999999999</v>
      </c>
      <c r="N122" s="40">
        <f t="shared" si="9"/>
        <v>13.736000000000001</v>
      </c>
    </row>
    <row r="123" spans="1:14" x14ac:dyDescent="0.25">
      <c r="A123" s="35">
        <f t="shared" si="8"/>
        <v>120</v>
      </c>
      <c r="B123" s="36">
        <v>36</v>
      </c>
      <c r="C123" s="42" t="s">
        <v>549</v>
      </c>
      <c r="D123" s="36" t="s">
        <v>315</v>
      </c>
      <c r="E123" s="38">
        <v>9936</v>
      </c>
      <c r="F123" s="36">
        <v>9936</v>
      </c>
      <c r="G123" s="38">
        <v>10</v>
      </c>
      <c r="H123" s="36">
        <v>10</v>
      </c>
      <c r="I123" s="36">
        <v>100</v>
      </c>
      <c r="J123" s="60">
        <v>0.03</v>
      </c>
      <c r="K123" s="40">
        <f t="shared" si="7"/>
        <v>9.9359999999999999</v>
      </c>
      <c r="L123" s="40">
        <f t="shared" si="5"/>
        <v>2.9807999999999999</v>
      </c>
      <c r="M123" s="40">
        <f t="shared" si="6"/>
        <v>2.9807999999999999</v>
      </c>
      <c r="N123" s="40">
        <f t="shared" si="9"/>
        <v>15.897600000000001</v>
      </c>
    </row>
    <row r="124" spans="1:14" x14ac:dyDescent="0.25">
      <c r="A124" s="35">
        <f t="shared" si="8"/>
        <v>121</v>
      </c>
      <c r="B124" s="36">
        <v>37</v>
      </c>
      <c r="C124" s="42" t="s">
        <v>324</v>
      </c>
      <c r="D124" s="36" t="s">
        <v>325</v>
      </c>
      <c r="E124" s="38">
        <v>2472</v>
      </c>
      <c r="F124" s="36">
        <v>2472</v>
      </c>
      <c r="G124" s="38">
        <v>10</v>
      </c>
      <c r="H124" s="36">
        <v>10</v>
      </c>
      <c r="I124" s="36">
        <v>100</v>
      </c>
      <c r="J124" s="60">
        <v>0.05</v>
      </c>
      <c r="K124" s="40">
        <f t="shared" si="7"/>
        <v>2.472</v>
      </c>
      <c r="L124" s="40">
        <f t="shared" si="5"/>
        <v>0.74159999999999993</v>
      </c>
      <c r="M124" s="40">
        <f t="shared" si="6"/>
        <v>1.236</v>
      </c>
      <c r="N124" s="40">
        <f t="shared" si="9"/>
        <v>4.4496000000000002</v>
      </c>
    </row>
    <row r="125" spans="1:14" x14ac:dyDescent="0.25">
      <c r="A125" s="35">
        <f t="shared" si="8"/>
        <v>122</v>
      </c>
      <c r="B125" s="36">
        <v>37</v>
      </c>
      <c r="C125" s="42" t="s">
        <v>324</v>
      </c>
      <c r="D125" s="36" t="s">
        <v>326</v>
      </c>
      <c r="E125" s="38">
        <v>2676</v>
      </c>
      <c r="F125" s="36">
        <v>2676</v>
      </c>
      <c r="G125" s="38">
        <v>10</v>
      </c>
      <c r="H125" s="36">
        <v>10</v>
      </c>
      <c r="I125" s="36">
        <v>100</v>
      </c>
      <c r="J125" s="60">
        <v>0.05</v>
      </c>
      <c r="K125" s="40">
        <f t="shared" si="7"/>
        <v>2.6760000000000002</v>
      </c>
      <c r="L125" s="40">
        <f t="shared" si="5"/>
        <v>0.80280000000000007</v>
      </c>
      <c r="M125" s="40">
        <f t="shared" si="6"/>
        <v>1.3380000000000001</v>
      </c>
      <c r="N125" s="40">
        <f t="shared" si="9"/>
        <v>4.8168000000000006</v>
      </c>
    </row>
    <row r="126" spans="1:14" x14ac:dyDescent="0.25">
      <c r="A126" s="35">
        <f t="shared" si="8"/>
        <v>123</v>
      </c>
      <c r="B126" s="36">
        <v>37</v>
      </c>
      <c r="C126" s="42" t="s">
        <v>324</v>
      </c>
      <c r="D126" s="36" t="s">
        <v>327</v>
      </c>
      <c r="E126" s="38">
        <v>2881</v>
      </c>
      <c r="F126" s="36">
        <v>2881</v>
      </c>
      <c r="G126" s="38">
        <v>10</v>
      </c>
      <c r="H126" s="36">
        <v>10</v>
      </c>
      <c r="I126" s="36">
        <v>100</v>
      </c>
      <c r="J126" s="60">
        <v>0.05</v>
      </c>
      <c r="K126" s="40">
        <f t="shared" si="7"/>
        <v>2.8809999999999998</v>
      </c>
      <c r="L126" s="40">
        <f t="shared" si="5"/>
        <v>0.86429999999999996</v>
      </c>
      <c r="M126" s="40">
        <f t="shared" si="6"/>
        <v>1.4405000000000001</v>
      </c>
      <c r="N126" s="40">
        <f t="shared" si="9"/>
        <v>5.1858000000000004</v>
      </c>
    </row>
    <row r="127" spans="1:14" x14ac:dyDescent="0.25">
      <c r="A127" s="35">
        <f t="shared" si="8"/>
        <v>124</v>
      </c>
      <c r="B127" s="36">
        <v>37</v>
      </c>
      <c r="C127" s="42" t="s">
        <v>324</v>
      </c>
      <c r="D127" s="36" t="s">
        <v>328</v>
      </c>
      <c r="E127" s="38">
        <v>3185</v>
      </c>
      <c r="F127" s="36">
        <v>3185</v>
      </c>
      <c r="G127" s="38">
        <v>10</v>
      </c>
      <c r="H127" s="36">
        <v>10</v>
      </c>
      <c r="I127" s="36">
        <v>100</v>
      </c>
      <c r="J127" s="60">
        <v>0.05</v>
      </c>
      <c r="K127" s="40">
        <f t="shared" si="7"/>
        <v>3.1850000000000001</v>
      </c>
      <c r="L127" s="40">
        <f t="shared" si="5"/>
        <v>0.95550000000000002</v>
      </c>
      <c r="M127" s="40">
        <f t="shared" si="6"/>
        <v>1.5925</v>
      </c>
      <c r="N127" s="40">
        <f t="shared" si="9"/>
        <v>5.7330000000000005</v>
      </c>
    </row>
    <row r="128" spans="1:14" x14ac:dyDescent="0.25">
      <c r="A128" s="35">
        <f t="shared" si="8"/>
        <v>125</v>
      </c>
      <c r="B128" s="36">
        <v>38</v>
      </c>
      <c r="C128" s="42" t="s">
        <v>550</v>
      </c>
      <c r="D128" s="36" t="s">
        <v>329</v>
      </c>
      <c r="E128" s="38">
        <v>3189</v>
      </c>
      <c r="F128" s="36">
        <v>3180</v>
      </c>
      <c r="G128" s="38">
        <v>10</v>
      </c>
      <c r="H128" s="36">
        <v>10</v>
      </c>
      <c r="I128" s="36">
        <v>100</v>
      </c>
      <c r="J128" s="60">
        <v>0.08</v>
      </c>
      <c r="K128" s="40">
        <f t="shared" si="7"/>
        <v>3.18</v>
      </c>
      <c r="L128" s="40">
        <f t="shared" si="5"/>
        <v>0.95399999999999996</v>
      </c>
      <c r="M128" s="40">
        <f t="shared" si="6"/>
        <v>2.544</v>
      </c>
      <c r="N128" s="40">
        <f t="shared" si="9"/>
        <v>6.6780000000000008</v>
      </c>
    </row>
    <row r="129" spans="1:14" x14ac:dyDescent="0.25">
      <c r="A129" s="35">
        <f t="shared" si="8"/>
        <v>126</v>
      </c>
      <c r="B129" s="36">
        <v>38</v>
      </c>
      <c r="C129" s="42" t="s">
        <v>550</v>
      </c>
      <c r="D129" s="36" t="s">
        <v>330</v>
      </c>
      <c r="E129" s="38">
        <v>3364</v>
      </c>
      <c r="F129" s="36">
        <v>3364</v>
      </c>
      <c r="G129" s="38">
        <v>10</v>
      </c>
      <c r="H129" s="36">
        <v>10</v>
      </c>
      <c r="I129" s="36">
        <v>100</v>
      </c>
      <c r="J129" s="60">
        <v>0.08</v>
      </c>
      <c r="K129" s="40">
        <f t="shared" si="7"/>
        <v>3.3639999999999999</v>
      </c>
      <c r="L129" s="40">
        <f t="shared" si="5"/>
        <v>1.0091999999999999</v>
      </c>
      <c r="M129" s="40">
        <f t="shared" si="6"/>
        <v>2.6912000000000003</v>
      </c>
      <c r="N129" s="40">
        <f t="shared" si="9"/>
        <v>7.0644</v>
      </c>
    </row>
    <row r="130" spans="1:14" x14ac:dyDescent="0.25">
      <c r="A130" s="35">
        <f t="shared" si="8"/>
        <v>127</v>
      </c>
      <c r="B130" s="36">
        <v>38</v>
      </c>
      <c r="C130" s="42" t="s">
        <v>550</v>
      </c>
      <c r="D130" s="36" t="s">
        <v>551</v>
      </c>
      <c r="E130" s="38">
        <v>3644</v>
      </c>
      <c r="F130" s="36">
        <v>3644</v>
      </c>
      <c r="G130" s="38">
        <v>10</v>
      </c>
      <c r="H130" s="36">
        <v>10</v>
      </c>
      <c r="I130" s="36">
        <v>100</v>
      </c>
      <c r="J130" s="60">
        <v>0.08</v>
      </c>
      <c r="K130" s="40">
        <f t="shared" si="7"/>
        <v>3.6440000000000001</v>
      </c>
      <c r="L130" s="40">
        <f t="shared" si="5"/>
        <v>1.0931999999999999</v>
      </c>
      <c r="M130" s="40">
        <f t="shared" si="6"/>
        <v>2.9152</v>
      </c>
      <c r="N130" s="40">
        <f t="shared" si="9"/>
        <v>7.6524000000000001</v>
      </c>
    </row>
    <row r="131" spans="1:14" x14ac:dyDescent="0.25">
      <c r="A131" s="35">
        <f t="shared" si="8"/>
        <v>128</v>
      </c>
      <c r="B131" s="36">
        <v>38</v>
      </c>
      <c r="C131" s="42" t="s">
        <v>550</v>
      </c>
      <c r="D131" s="36" t="s">
        <v>331</v>
      </c>
      <c r="E131" s="38">
        <v>3885</v>
      </c>
      <c r="F131" s="36">
        <v>3885</v>
      </c>
      <c r="G131" s="38">
        <v>10</v>
      </c>
      <c r="H131" s="36">
        <v>10</v>
      </c>
      <c r="I131" s="36">
        <v>100</v>
      </c>
      <c r="J131" s="60">
        <v>0.08</v>
      </c>
      <c r="K131" s="40">
        <f t="shared" si="7"/>
        <v>3.8849999999999998</v>
      </c>
      <c r="L131" s="40">
        <f t="shared" si="5"/>
        <v>1.1655</v>
      </c>
      <c r="M131" s="40">
        <f t="shared" si="6"/>
        <v>3.1080000000000001</v>
      </c>
      <c r="N131" s="40">
        <f t="shared" si="9"/>
        <v>8.1585000000000001</v>
      </c>
    </row>
    <row r="132" spans="1:14" x14ac:dyDescent="0.25">
      <c r="A132" s="35">
        <f t="shared" si="8"/>
        <v>129</v>
      </c>
      <c r="B132" s="36">
        <v>38</v>
      </c>
      <c r="C132" s="42" t="s">
        <v>550</v>
      </c>
      <c r="D132" s="36" t="s">
        <v>332</v>
      </c>
      <c r="E132" s="38">
        <v>4582</v>
      </c>
      <c r="F132" s="36">
        <v>4582</v>
      </c>
      <c r="G132" s="38">
        <v>10</v>
      </c>
      <c r="H132" s="36">
        <v>10</v>
      </c>
      <c r="I132" s="36">
        <v>100</v>
      </c>
      <c r="J132" s="60">
        <v>0.08</v>
      </c>
      <c r="K132" s="40">
        <f t="shared" si="7"/>
        <v>4.5819999999999999</v>
      </c>
      <c r="L132" s="40">
        <f t="shared" ref="L132:L195" si="10">+(F132/I132)*($L$1/100)</f>
        <v>1.3746</v>
      </c>
      <c r="M132" s="40">
        <f t="shared" ref="M132:M195" si="11">+F132*J132/100</f>
        <v>3.6656</v>
      </c>
      <c r="N132" s="40">
        <f t="shared" si="9"/>
        <v>9.6221999999999994</v>
      </c>
    </row>
    <row r="133" spans="1:14" x14ac:dyDescent="0.25">
      <c r="A133" s="35">
        <f t="shared" si="8"/>
        <v>130</v>
      </c>
      <c r="B133" s="36">
        <v>39</v>
      </c>
      <c r="C133" s="42" t="s">
        <v>333</v>
      </c>
      <c r="D133" s="36" t="s">
        <v>329</v>
      </c>
      <c r="E133" s="38">
        <v>4557</v>
      </c>
      <c r="F133" s="36">
        <v>4557</v>
      </c>
      <c r="G133" s="38">
        <v>10</v>
      </c>
      <c r="H133" s="36">
        <v>10</v>
      </c>
      <c r="I133" s="36">
        <v>100</v>
      </c>
      <c r="J133" s="60">
        <v>0.08</v>
      </c>
      <c r="K133" s="40">
        <f t="shared" ref="K133:K196" si="12">+F133/(H133*I133)</f>
        <v>4.5570000000000004</v>
      </c>
      <c r="L133" s="40">
        <f t="shared" si="10"/>
        <v>1.3671</v>
      </c>
      <c r="M133" s="40">
        <f t="shared" si="11"/>
        <v>3.6456</v>
      </c>
      <c r="N133" s="40">
        <f t="shared" si="9"/>
        <v>9.569700000000001</v>
      </c>
    </row>
    <row r="134" spans="1:14" x14ac:dyDescent="0.25">
      <c r="A134" s="35">
        <f t="shared" ref="A134:A197" si="13">+A133+1</f>
        <v>131</v>
      </c>
      <c r="B134" s="36">
        <v>39</v>
      </c>
      <c r="C134" s="42" t="s">
        <v>333</v>
      </c>
      <c r="D134" s="36" t="s">
        <v>330</v>
      </c>
      <c r="E134" s="38">
        <v>4807</v>
      </c>
      <c r="F134" s="36">
        <v>4807</v>
      </c>
      <c r="G134" s="38">
        <v>10</v>
      </c>
      <c r="H134" s="36">
        <v>10</v>
      </c>
      <c r="I134" s="36">
        <v>100</v>
      </c>
      <c r="J134" s="60">
        <v>0.08</v>
      </c>
      <c r="K134" s="40">
        <f t="shared" si="12"/>
        <v>4.8070000000000004</v>
      </c>
      <c r="L134" s="40">
        <f t="shared" si="10"/>
        <v>1.4420999999999999</v>
      </c>
      <c r="M134" s="40">
        <f t="shared" si="11"/>
        <v>3.8456000000000001</v>
      </c>
      <c r="N134" s="40">
        <f t="shared" ref="N134:N197" si="14">+K134+L134+M134</f>
        <v>10.0947</v>
      </c>
    </row>
    <row r="135" spans="1:14" x14ac:dyDescent="0.25">
      <c r="A135" s="35">
        <f t="shared" si="13"/>
        <v>132</v>
      </c>
      <c r="B135" s="36">
        <v>39</v>
      </c>
      <c r="C135" s="42" t="s">
        <v>333</v>
      </c>
      <c r="D135" s="36" t="s">
        <v>551</v>
      </c>
      <c r="E135" s="38">
        <v>5203</v>
      </c>
      <c r="F135" s="36">
        <v>5203</v>
      </c>
      <c r="G135" s="38">
        <v>10</v>
      </c>
      <c r="H135" s="36">
        <v>10</v>
      </c>
      <c r="I135" s="36">
        <v>100</v>
      </c>
      <c r="J135" s="60">
        <v>0.08</v>
      </c>
      <c r="K135" s="40">
        <f t="shared" si="12"/>
        <v>5.2030000000000003</v>
      </c>
      <c r="L135" s="40">
        <f t="shared" si="10"/>
        <v>1.5609</v>
      </c>
      <c r="M135" s="40">
        <f t="shared" si="11"/>
        <v>4.1623999999999999</v>
      </c>
      <c r="N135" s="40">
        <f t="shared" si="14"/>
        <v>10.926300000000001</v>
      </c>
    </row>
    <row r="136" spans="1:14" x14ac:dyDescent="0.25">
      <c r="A136" s="35">
        <f t="shared" si="13"/>
        <v>133</v>
      </c>
      <c r="B136" s="36">
        <v>39</v>
      </c>
      <c r="C136" s="42" t="s">
        <v>333</v>
      </c>
      <c r="D136" s="36" t="s">
        <v>313</v>
      </c>
      <c r="E136" s="38">
        <v>5549</v>
      </c>
      <c r="F136" s="36">
        <v>5549</v>
      </c>
      <c r="G136" s="38">
        <v>10</v>
      </c>
      <c r="H136" s="36">
        <v>10</v>
      </c>
      <c r="I136" s="36">
        <v>100</v>
      </c>
      <c r="J136" s="60">
        <v>0.08</v>
      </c>
      <c r="K136" s="40">
        <f t="shared" si="12"/>
        <v>5.5490000000000004</v>
      </c>
      <c r="L136" s="40">
        <f t="shared" si="10"/>
        <v>1.6647000000000001</v>
      </c>
      <c r="M136" s="40">
        <f t="shared" si="11"/>
        <v>4.4392000000000005</v>
      </c>
      <c r="N136" s="40">
        <f t="shared" si="14"/>
        <v>11.652900000000001</v>
      </c>
    </row>
    <row r="137" spans="1:14" x14ac:dyDescent="0.25">
      <c r="A137" s="35">
        <f t="shared" si="13"/>
        <v>134</v>
      </c>
      <c r="B137" s="36">
        <v>40</v>
      </c>
      <c r="C137" s="42" t="s">
        <v>552</v>
      </c>
      <c r="D137" s="36" t="s">
        <v>553</v>
      </c>
      <c r="E137" s="38">
        <v>6966</v>
      </c>
      <c r="F137" s="36">
        <v>6966</v>
      </c>
      <c r="G137" s="38">
        <v>10</v>
      </c>
      <c r="H137" s="36">
        <v>10</v>
      </c>
      <c r="I137" s="36">
        <v>100</v>
      </c>
      <c r="J137" s="60">
        <v>0.05</v>
      </c>
      <c r="K137" s="40">
        <f t="shared" si="12"/>
        <v>6.9660000000000002</v>
      </c>
      <c r="L137" s="40">
        <f t="shared" si="10"/>
        <v>2.0897999999999999</v>
      </c>
      <c r="M137" s="40">
        <f t="shared" si="11"/>
        <v>3.4830000000000001</v>
      </c>
      <c r="N137" s="40">
        <f t="shared" si="14"/>
        <v>12.5388</v>
      </c>
    </row>
    <row r="138" spans="1:14" x14ac:dyDescent="0.25">
      <c r="A138" s="35">
        <f t="shared" si="13"/>
        <v>135</v>
      </c>
      <c r="B138" s="36">
        <v>40</v>
      </c>
      <c r="C138" s="42" t="s">
        <v>552</v>
      </c>
      <c r="D138" s="36" t="s">
        <v>334</v>
      </c>
      <c r="E138" s="38">
        <v>7412</v>
      </c>
      <c r="F138" s="36">
        <v>7412</v>
      </c>
      <c r="G138" s="38">
        <v>10</v>
      </c>
      <c r="H138" s="36">
        <v>10</v>
      </c>
      <c r="I138" s="36">
        <v>100</v>
      </c>
      <c r="J138" s="60">
        <v>0.05</v>
      </c>
      <c r="K138" s="40">
        <f t="shared" si="12"/>
        <v>7.4119999999999999</v>
      </c>
      <c r="L138" s="40">
        <f t="shared" si="10"/>
        <v>2.2236000000000002</v>
      </c>
      <c r="M138" s="40">
        <f t="shared" si="11"/>
        <v>3.7060000000000004</v>
      </c>
      <c r="N138" s="40">
        <f t="shared" si="14"/>
        <v>13.3416</v>
      </c>
    </row>
    <row r="139" spans="1:14" x14ac:dyDescent="0.25">
      <c r="A139" s="35">
        <f t="shared" si="13"/>
        <v>136</v>
      </c>
      <c r="B139" s="36">
        <v>40</v>
      </c>
      <c r="C139" s="42" t="s">
        <v>552</v>
      </c>
      <c r="D139" s="36" t="s">
        <v>335</v>
      </c>
      <c r="E139" s="38">
        <v>7858</v>
      </c>
      <c r="F139" s="36">
        <v>7858</v>
      </c>
      <c r="G139" s="38">
        <v>10</v>
      </c>
      <c r="H139" s="36">
        <v>10</v>
      </c>
      <c r="I139" s="36">
        <v>100</v>
      </c>
      <c r="J139" s="60">
        <v>0.05</v>
      </c>
      <c r="K139" s="40">
        <f t="shared" si="12"/>
        <v>7.8579999999999997</v>
      </c>
      <c r="L139" s="40">
        <f t="shared" si="10"/>
        <v>2.3573999999999997</v>
      </c>
      <c r="M139" s="40">
        <f t="shared" si="11"/>
        <v>3.9290000000000003</v>
      </c>
      <c r="N139" s="40">
        <f t="shared" si="14"/>
        <v>14.144399999999999</v>
      </c>
    </row>
    <row r="140" spans="1:14" x14ac:dyDescent="0.25">
      <c r="A140" s="35">
        <f t="shared" si="13"/>
        <v>137</v>
      </c>
      <c r="B140" s="36">
        <v>40</v>
      </c>
      <c r="C140" s="42" t="s">
        <v>552</v>
      </c>
      <c r="D140" s="36" t="s">
        <v>336</v>
      </c>
      <c r="E140" s="38">
        <v>8530</v>
      </c>
      <c r="F140" s="36">
        <v>8530</v>
      </c>
      <c r="G140" s="38">
        <v>10</v>
      </c>
      <c r="H140" s="36">
        <v>10</v>
      </c>
      <c r="I140" s="36">
        <v>100</v>
      </c>
      <c r="J140" s="60">
        <v>0.05</v>
      </c>
      <c r="K140" s="40">
        <f t="shared" si="12"/>
        <v>8.5299999999999994</v>
      </c>
      <c r="L140" s="40">
        <f t="shared" si="10"/>
        <v>2.5589999999999997</v>
      </c>
      <c r="M140" s="40">
        <f t="shared" si="11"/>
        <v>4.2649999999999997</v>
      </c>
      <c r="N140" s="40">
        <f t="shared" si="14"/>
        <v>15.353999999999999</v>
      </c>
    </row>
    <row r="141" spans="1:14" x14ac:dyDescent="0.25">
      <c r="A141" s="35">
        <f t="shared" si="13"/>
        <v>138</v>
      </c>
      <c r="B141" s="36">
        <v>41</v>
      </c>
      <c r="C141" s="42" t="s">
        <v>337</v>
      </c>
      <c r="D141" s="36" t="s">
        <v>338</v>
      </c>
      <c r="E141" s="38">
        <v>9288</v>
      </c>
      <c r="F141" s="36">
        <v>9288</v>
      </c>
      <c r="G141" s="38">
        <v>10</v>
      </c>
      <c r="H141" s="36">
        <v>10</v>
      </c>
      <c r="I141" s="36">
        <v>100</v>
      </c>
      <c r="J141" s="60">
        <v>0.05</v>
      </c>
      <c r="K141" s="40">
        <f t="shared" si="12"/>
        <v>9.2880000000000003</v>
      </c>
      <c r="L141" s="40">
        <f t="shared" si="10"/>
        <v>2.7863999999999995</v>
      </c>
      <c r="M141" s="40">
        <f t="shared" si="11"/>
        <v>4.6440000000000001</v>
      </c>
      <c r="N141" s="40">
        <f t="shared" si="14"/>
        <v>16.718400000000003</v>
      </c>
    </row>
    <row r="142" spans="1:14" x14ac:dyDescent="0.25">
      <c r="A142" s="35">
        <f t="shared" si="13"/>
        <v>139</v>
      </c>
      <c r="B142" s="36">
        <v>41</v>
      </c>
      <c r="C142" s="42" t="s">
        <v>337</v>
      </c>
      <c r="D142" s="36" t="s">
        <v>339</v>
      </c>
      <c r="E142" s="38">
        <v>9885</v>
      </c>
      <c r="F142" s="36">
        <v>9885</v>
      </c>
      <c r="G142" s="38">
        <v>10</v>
      </c>
      <c r="H142" s="36">
        <v>10</v>
      </c>
      <c r="I142" s="36">
        <v>100</v>
      </c>
      <c r="J142" s="60">
        <v>0.05</v>
      </c>
      <c r="K142" s="40">
        <f t="shared" si="12"/>
        <v>9.8849999999999998</v>
      </c>
      <c r="L142" s="40">
        <f t="shared" si="10"/>
        <v>2.9654999999999996</v>
      </c>
      <c r="M142" s="40">
        <f t="shared" si="11"/>
        <v>4.9424999999999999</v>
      </c>
      <c r="N142" s="40">
        <f t="shared" si="14"/>
        <v>17.792999999999999</v>
      </c>
    </row>
    <row r="143" spans="1:14" x14ac:dyDescent="0.25">
      <c r="A143" s="35">
        <f t="shared" si="13"/>
        <v>140</v>
      </c>
      <c r="B143" s="36">
        <v>41</v>
      </c>
      <c r="C143" s="42" t="s">
        <v>337</v>
      </c>
      <c r="D143" s="36" t="s">
        <v>340</v>
      </c>
      <c r="E143" s="38">
        <v>10481</v>
      </c>
      <c r="F143" s="36">
        <v>10481</v>
      </c>
      <c r="G143" s="38">
        <v>10</v>
      </c>
      <c r="H143" s="36">
        <v>10</v>
      </c>
      <c r="I143" s="36">
        <v>100</v>
      </c>
      <c r="J143" s="60">
        <v>0.05</v>
      </c>
      <c r="K143" s="40">
        <f t="shared" si="12"/>
        <v>10.481</v>
      </c>
      <c r="L143" s="40">
        <f t="shared" si="10"/>
        <v>3.1442999999999999</v>
      </c>
      <c r="M143" s="40">
        <f t="shared" si="11"/>
        <v>5.2405000000000008</v>
      </c>
      <c r="N143" s="40">
        <f t="shared" si="14"/>
        <v>18.8658</v>
      </c>
    </row>
    <row r="144" spans="1:14" x14ac:dyDescent="0.25">
      <c r="A144" s="35">
        <f t="shared" si="13"/>
        <v>141</v>
      </c>
      <c r="B144" s="36">
        <v>41</v>
      </c>
      <c r="C144" s="42" t="s">
        <v>337</v>
      </c>
      <c r="D144" s="36" t="s">
        <v>318</v>
      </c>
      <c r="E144" s="38">
        <v>11373</v>
      </c>
      <c r="F144" s="36">
        <v>11373</v>
      </c>
      <c r="G144" s="38">
        <v>10</v>
      </c>
      <c r="H144" s="36">
        <v>10</v>
      </c>
      <c r="I144" s="36">
        <v>100</v>
      </c>
      <c r="J144" s="60">
        <v>0.05</v>
      </c>
      <c r="K144" s="40">
        <f t="shared" si="12"/>
        <v>11.372999999999999</v>
      </c>
      <c r="L144" s="40">
        <f t="shared" si="10"/>
        <v>3.4119000000000002</v>
      </c>
      <c r="M144" s="40">
        <f t="shared" si="11"/>
        <v>5.6864999999999997</v>
      </c>
      <c r="N144" s="40">
        <f t="shared" si="14"/>
        <v>20.471399999999999</v>
      </c>
    </row>
    <row r="145" spans="1:14" x14ac:dyDescent="0.25">
      <c r="A145" s="35">
        <f t="shared" si="13"/>
        <v>142</v>
      </c>
      <c r="B145" s="36">
        <v>42</v>
      </c>
      <c r="C145" s="42" t="s">
        <v>554</v>
      </c>
      <c r="D145" s="36" t="s">
        <v>220</v>
      </c>
      <c r="E145" s="38">
        <v>5553</v>
      </c>
      <c r="F145" s="36">
        <v>5553</v>
      </c>
      <c r="G145" s="38">
        <v>10</v>
      </c>
      <c r="H145" s="36">
        <v>10</v>
      </c>
      <c r="I145" s="36">
        <v>100</v>
      </c>
      <c r="J145" s="60">
        <v>0.12</v>
      </c>
      <c r="K145" s="40">
        <f t="shared" si="12"/>
        <v>5.5529999999999999</v>
      </c>
      <c r="L145" s="40">
        <f t="shared" si="10"/>
        <v>1.6658999999999999</v>
      </c>
      <c r="M145" s="40">
        <f t="shared" si="11"/>
        <v>6.6635999999999997</v>
      </c>
      <c r="N145" s="40">
        <f t="shared" si="14"/>
        <v>13.8825</v>
      </c>
    </row>
    <row r="146" spans="1:14" x14ac:dyDescent="0.25">
      <c r="A146" s="35">
        <f t="shared" si="13"/>
        <v>143</v>
      </c>
      <c r="B146" s="36">
        <v>42</v>
      </c>
      <c r="C146" s="42" t="s">
        <v>554</v>
      </c>
      <c r="D146" s="36" t="s">
        <v>341</v>
      </c>
      <c r="E146" s="38">
        <v>6393</v>
      </c>
      <c r="F146" s="36">
        <v>6393</v>
      </c>
      <c r="G146" s="38">
        <v>10</v>
      </c>
      <c r="H146" s="36">
        <v>10</v>
      </c>
      <c r="I146" s="36">
        <v>100</v>
      </c>
      <c r="J146" s="60">
        <v>0.12</v>
      </c>
      <c r="K146" s="40">
        <f t="shared" si="12"/>
        <v>6.3929999999999998</v>
      </c>
      <c r="L146" s="40">
        <f t="shared" si="10"/>
        <v>1.9178999999999999</v>
      </c>
      <c r="M146" s="40">
        <f t="shared" si="11"/>
        <v>7.6715999999999998</v>
      </c>
      <c r="N146" s="40">
        <f t="shared" si="14"/>
        <v>15.9825</v>
      </c>
    </row>
    <row r="147" spans="1:14" x14ac:dyDescent="0.25">
      <c r="A147" s="35">
        <f t="shared" si="13"/>
        <v>144</v>
      </c>
      <c r="B147" s="36">
        <v>43</v>
      </c>
      <c r="C147" s="42" t="s">
        <v>555</v>
      </c>
      <c r="D147" s="36" t="s">
        <v>342</v>
      </c>
      <c r="E147" s="38">
        <v>10923</v>
      </c>
      <c r="F147" s="36">
        <v>10923</v>
      </c>
      <c r="G147" s="38">
        <v>10</v>
      </c>
      <c r="H147" s="36">
        <v>10</v>
      </c>
      <c r="I147" s="36">
        <v>100</v>
      </c>
      <c r="J147" s="60">
        <v>0.08</v>
      </c>
      <c r="K147" s="40">
        <f t="shared" si="12"/>
        <v>10.923</v>
      </c>
      <c r="L147" s="40">
        <f t="shared" si="10"/>
        <v>3.2768999999999999</v>
      </c>
      <c r="M147" s="40">
        <f t="shared" si="11"/>
        <v>8.7384000000000004</v>
      </c>
      <c r="N147" s="40">
        <f t="shared" si="14"/>
        <v>22.938299999999998</v>
      </c>
    </row>
    <row r="148" spans="1:14" x14ac:dyDescent="0.25">
      <c r="A148" s="35">
        <f t="shared" si="13"/>
        <v>145</v>
      </c>
      <c r="B148" s="36">
        <v>43</v>
      </c>
      <c r="C148" s="42" t="s">
        <v>555</v>
      </c>
      <c r="D148" s="36" t="s">
        <v>310</v>
      </c>
      <c r="E148" s="38">
        <v>12201</v>
      </c>
      <c r="F148" s="36">
        <v>12201</v>
      </c>
      <c r="G148" s="38">
        <v>10</v>
      </c>
      <c r="H148" s="36">
        <v>10</v>
      </c>
      <c r="I148" s="36">
        <v>100</v>
      </c>
      <c r="J148" s="60">
        <v>0.08</v>
      </c>
      <c r="K148" s="40">
        <f t="shared" si="12"/>
        <v>12.201000000000001</v>
      </c>
      <c r="L148" s="40">
        <f t="shared" si="10"/>
        <v>3.6602999999999999</v>
      </c>
      <c r="M148" s="40">
        <f t="shared" si="11"/>
        <v>9.7607999999999997</v>
      </c>
      <c r="N148" s="40">
        <f t="shared" si="14"/>
        <v>25.6221</v>
      </c>
    </row>
    <row r="149" spans="1:14" x14ac:dyDescent="0.25">
      <c r="A149" s="35">
        <f t="shared" si="13"/>
        <v>146</v>
      </c>
      <c r="B149" s="36">
        <v>44</v>
      </c>
      <c r="C149" s="42" t="s">
        <v>556</v>
      </c>
      <c r="D149" s="36" t="s">
        <v>343</v>
      </c>
      <c r="E149" s="38">
        <v>24037</v>
      </c>
      <c r="F149" s="36">
        <v>24037</v>
      </c>
      <c r="G149" s="38">
        <v>10</v>
      </c>
      <c r="H149" s="36">
        <v>10</v>
      </c>
      <c r="I149" s="36">
        <v>100</v>
      </c>
      <c r="J149" s="60">
        <v>0.04</v>
      </c>
      <c r="K149" s="40">
        <f t="shared" si="12"/>
        <v>24.036999999999999</v>
      </c>
      <c r="L149" s="40">
        <f t="shared" si="10"/>
        <v>7.2111000000000001</v>
      </c>
      <c r="M149" s="40">
        <f t="shared" si="11"/>
        <v>9.6148000000000007</v>
      </c>
      <c r="N149" s="40">
        <f t="shared" si="14"/>
        <v>40.862900000000003</v>
      </c>
    </row>
    <row r="150" spans="1:14" x14ac:dyDescent="0.25">
      <c r="A150" s="35">
        <f t="shared" si="13"/>
        <v>147</v>
      </c>
      <c r="B150" s="36">
        <v>45</v>
      </c>
      <c r="C150" s="42" t="s">
        <v>344</v>
      </c>
      <c r="D150" s="36" t="s">
        <v>230</v>
      </c>
      <c r="E150" s="38">
        <v>20432</v>
      </c>
      <c r="F150" s="36">
        <v>20432</v>
      </c>
      <c r="G150" s="38">
        <v>10</v>
      </c>
      <c r="H150" s="36">
        <v>10</v>
      </c>
      <c r="I150" s="36">
        <v>100</v>
      </c>
      <c r="J150" s="60">
        <v>0.04</v>
      </c>
      <c r="K150" s="40">
        <f t="shared" si="12"/>
        <v>20.431999999999999</v>
      </c>
      <c r="L150" s="40">
        <f t="shared" si="10"/>
        <v>6.1295999999999999</v>
      </c>
      <c r="M150" s="40">
        <f t="shared" si="11"/>
        <v>8.1728000000000005</v>
      </c>
      <c r="N150" s="40">
        <f t="shared" si="14"/>
        <v>34.734400000000001</v>
      </c>
    </row>
    <row r="151" spans="1:14" x14ac:dyDescent="0.25">
      <c r="A151" s="35">
        <f t="shared" si="13"/>
        <v>148</v>
      </c>
      <c r="B151" s="36">
        <v>46</v>
      </c>
      <c r="C151" s="42" t="s">
        <v>557</v>
      </c>
      <c r="D151" s="36" t="s">
        <v>345</v>
      </c>
      <c r="E151" s="38">
        <v>20384</v>
      </c>
      <c r="F151" s="36">
        <v>20380</v>
      </c>
      <c r="G151" s="38">
        <v>10</v>
      </c>
      <c r="H151" s="36">
        <v>10</v>
      </c>
      <c r="I151" s="36">
        <v>100</v>
      </c>
      <c r="J151" s="60">
        <v>0.04</v>
      </c>
      <c r="K151" s="40">
        <f t="shared" si="12"/>
        <v>20.38</v>
      </c>
      <c r="L151" s="40">
        <f t="shared" si="10"/>
        <v>6.1139999999999999</v>
      </c>
      <c r="M151" s="40">
        <f t="shared" si="11"/>
        <v>8.152000000000001</v>
      </c>
      <c r="N151" s="40">
        <f t="shared" si="14"/>
        <v>34.646000000000001</v>
      </c>
    </row>
    <row r="152" spans="1:14" x14ac:dyDescent="0.25">
      <c r="A152" s="35">
        <f t="shared" si="13"/>
        <v>149</v>
      </c>
      <c r="B152" s="36">
        <v>46</v>
      </c>
      <c r="C152" s="42" t="s">
        <v>557</v>
      </c>
      <c r="D152" s="36" t="s">
        <v>321</v>
      </c>
      <c r="E152" s="38">
        <v>24037</v>
      </c>
      <c r="F152" s="36">
        <v>24037</v>
      </c>
      <c r="G152" s="38">
        <v>10</v>
      </c>
      <c r="H152" s="36">
        <v>10</v>
      </c>
      <c r="I152" s="36">
        <v>100</v>
      </c>
      <c r="J152" s="60">
        <v>0.04</v>
      </c>
      <c r="K152" s="40">
        <f t="shared" si="12"/>
        <v>24.036999999999999</v>
      </c>
      <c r="L152" s="40">
        <f t="shared" si="10"/>
        <v>7.2111000000000001</v>
      </c>
      <c r="M152" s="40">
        <f t="shared" si="11"/>
        <v>9.6148000000000007</v>
      </c>
      <c r="N152" s="40">
        <f t="shared" si="14"/>
        <v>40.862900000000003</v>
      </c>
    </row>
    <row r="153" spans="1:14" x14ac:dyDescent="0.25">
      <c r="A153" s="35">
        <f t="shared" si="13"/>
        <v>150</v>
      </c>
      <c r="B153" s="36">
        <v>47</v>
      </c>
      <c r="C153" s="42" t="s">
        <v>558</v>
      </c>
      <c r="D153" s="36" t="s">
        <v>345</v>
      </c>
      <c r="E153" s="38">
        <v>8561</v>
      </c>
      <c r="F153" s="36">
        <v>8561</v>
      </c>
      <c r="G153" s="38">
        <v>10</v>
      </c>
      <c r="H153" s="36">
        <v>10</v>
      </c>
      <c r="I153" s="36">
        <v>100</v>
      </c>
      <c r="J153" s="60">
        <v>0.12</v>
      </c>
      <c r="K153" s="40">
        <f t="shared" si="12"/>
        <v>8.5609999999999999</v>
      </c>
      <c r="L153" s="40">
        <f t="shared" si="10"/>
        <v>2.5682999999999998</v>
      </c>
      <c r="M153" s="40">
        <f t="shared" si="11"/>
        <v>10.273199999999999</v>
      </c>
      <c r="N153" s="40">
        <f t="shared" si="14"/>
        <v>21.4025</v>
      </c>
    </row>
    <row r="154" spans="1:14" x14ac:dyDescent="0.25">
      <c r="A154" s="35">
        <f t="shared" si="13"/>
        <v>151</v>
      </c>
      <c r="B154" s="36">
        <v>48</v>
      </c>
      <c r="C154" s="42" t="s">
        <v>346</v>
      </c>
      <c r="D154" s="36" t="s">
        <v>342</v>
      </c>
      <c r="E154" s="38">
        <v>4384</v>
      </c>
      <c r="F154" s="36">
        <v>4384</v>
      </c>
      <c r="G154" s="38">
        <v>10</v>
      </c>
      <c r="H154" s="36">
        <v>10</v>
      </c>
      <c r="I154" s="36">
        <v>100</v>
      </c>
      <c r="J154" s="60">
        <v>0.04</v>
      </c>
      <c r="K154" s="40">
        <f t="shared" si="12"/>
        <v>4.3840000000000003</v>
      </c>
      <c r="L154" s="40">
        <f t="shared" si="10"/>
        <v>1.3152000000000001</v>
      </c>
      <c r="M154" s="40">
        <f t="shared" si="11"/>
        <v>1.7536</v>
      </c>
      <c r="N154" s="40">
        <f t="shared" si="14"/>
        <v>7.4527999999999999</v>
      </c>
    </row>
    <row r="155" spans="1:14" x14ac:dyDescent="0.25">
      <c r="A155" s="35">
        <f t="shared" si="13"/>
        <v>152</v>
      </c>
      <c r="B155" s="36">
        <v>48</v>
      </c>
      <c r="C155" s="42" t="s">
        <v>346</v>
      </c>
      <c r="D155" s="36" t="s">
        <v>347</v>
      </c>
      <c r="E155" s="38">
        <v>5297</v>
      </c>
      <c r="F155" s="36">
        <v>5297</v>
      </c>
      <c r="G155" s="38">
        <v>10</v>
      </c>
      <c r="H155" s="36">
        <v>10</v>
      </c>
      <c r="I155" s="36">
        <v>100</v>
      </c>
      <c r="J155" s="60">
        <v>0.04</v>
      </c>
      <c r="K155" s="40">
        <f t="shared" si="12"/>
        <v>5.2969999999999997</v>
      </c>
      <c r="L155" s="40">
        <f t="shared" si="10"/>
        <v>1.5891</v>
      </c>
      <c r="M155" s="40">
        <f t="shared" si="11"/>
        <v>2.1187999999999998</v>
      </c>
      <c r="N155" s="40">
        <f t="shared" si="14"/>
        <v>9.0048999999999992</v>
      </c>
    </row>
    <row r="156" spans="1:14" x14ac:dyDescent="0.25">
      <c r="A156" s="35">
        <f t="shared" si="13"/>
        <v>153</v>
      </c>
      <c r="B156" s="36">
        <v>48</v>
      </c>
      <c r="C156" s="42" t="s">
        <v>346</v>
      </c>
      <c r="D156" s="36" t="s">
        <v>311</v>
      </c>
      <c r="E156" s="38">
        <v>6210</v>
      </c>
      <c r="F156" s="36">
        <v>6210</v>
      </c>
      <c r="G156" s="38">
        <v>10</v>
      </c>
      <c r="H156" s="36">
        <v>10</v>
      </c>
      <c r="I156" s="36">
        <v>100</v>
      </c>
      <c r="J156" s="60">
        <v>0.04</v>
      </c>
      <c r="K156" s="40">
        <f t="shared" si="12"/>
        <v>6.21</v>
      </c>
      <c r="L156" s="40">
        <f t="shared" si="10"/>
        <v>1.863</v>
      </c>
      <c r="M156" s="40">
        <f t="shared" si="11"/>
        <v>2.484</v>
      </c>
      <c r="N156" s="40">
        <f t="shared" si="14"/>
        <v>10.557</v>
      </c>
    </row>
    <row r="157" spans="1:14" x14ac:dyDescent="0.25">
      <c r="A157" s="35">
        <f t="shared" si="13"/>
        <v>154</v>
      </c>
      <c r="B157" s="36">
        <v>49</v>
      </c>
      <c r="C157" s="42" t="s">
        <v>559</v>
      </c>
      <c r="D157" s="36" t="s">
        <v>230</v>
      </c>
      <c r="E157" s="38">
        <v>1517</v>
      </c>
      <c r="F157" s="36">
        <v>1517</v>
      </c>
      <c r="G157" s="38">
        <v>10</v>
      </c>
      <c r="H157" s="36">
        <v>10</v>
      </c>
      <c r="I157" s="36">
        <v>100</v>
      </c>
      <c r="J157" s="60">
        <v>0.16</v>
      </c>
      <c r="K157" s="40">
        <f t="shared" si="12"/>
        <v>1.5169999999999999</v>
      </c>
      <c r="L157" s="40">
        <f t="shared" si="10"/>
        <v>0.4551</v>
      </c>
      <c r="M157" s="40">
        <f t="shared" si="11"/>
        <v>2.4272</v>
      </c>
      <c r="N157" s="40">
        <f t="shared" si="14"/>
        <v>4.3993000000000002</v>
      </c>
    </row>
    <row r="158" spans="1:14" x14ac:dyDescent="0.25">
      <c r="A158" s="35">
        <f t="shared" si="13"/>
        <v>155</v>
      </c>
      <c r="B158" s="36">
        <v>49</v>
      </c>
      <c r="C158" s="42" t="s">
        <v>559</v>
      </c>
      <c r="D158" s="36" t="s">
        <v>310</v>
      </c>
      <c r="E158" s="38">
        <v>1591</v>
      </c>
      <c r="F158" s="36">
        <v>1591</v>
      </c>
      <c r="G158" s="38">
        <v>10</v>
      </c>
      <c r="H158" s="36">
        <v>10</v>
      </c>
      <c r="I158" s="36">
        <v>100</v>
      </c>
      <c r="J158" s="60">
        <v>0.16</v>
      </c>
      <c r="K158" s="40">
        <f t="shared" si="12"/>
        <v>1.591</v>
      </c>
      <c r="L158" s="40">
        <f t="shared" si="10"/>
        <v>0.4773</v>
      </c>
      <c r="M158" s="40">
        <f t="shared" si="11"/>
        <v>2.5455999999999999</v>
      </c>
      <c r="N158" s="40">
        <f t="shared" si="14"/>
        <v>4.6138999999999992</v>
      </c>
    </row>
    <row r="159" spans="1:14" x14ac:dyDescent="0.25">
      <c r="A159" s="35">
        <f t="shared" si="13"/>
        <v>156</v>
      </c>
      <c r="B159" s="36">
        <v>50</v>
      </c>
      <c r="C159" s="42" t="s">
        <v>348</v>
      </c>
      <c r="D159" s="36" t="s">
        <v>230</v>
      </c>
      <c r="E159" s="38">
        <v>2265</v>
      </c>
      <c r="F159" s="36">
        <v>2265</v>
      </c>
      <c r="G159" s="38">
        <v>10</v>
      </c>
      <c r="H159" s="36">
        <v>10</v>
      </c>
      <c r="I159" s="36">
        <v>100</v>
      </c>
      <c r="J159" s="60">
        <v>0.11</v>
      </c>
      <c r="K159" s="40">
        <f t="shared" si="12"/>
        <v>2.2650000000000001</v>
      </c>
      <c r="L159" s="40">
        <f t="shared" si="10"/>
        <v>0.67949999999999988</v>
      </c>
      <c r="M159" s="40">
        <f t="shared" si="11"/>
        <v>2.4915000000000003</v>
      </c>
      <c r="N159" s="40">
        <f t="shared" si="14"/>
        <v>5.4359999999999999</v>
      </c>
    </row>
    <row r="160" spans="1:14" x14ac:dyDescent="0.25">
      <c r="A160" s="35">
        <f t="shared" si="13"/>
        <v>157</v>
      </c>
      <c r="B160" s="36">
        <v>50</v>
      </c>
      <c r="C160" s="42" t="s">
        <v>348</v>
      </c>
      <c r="D160" s="36" t="s">
        <v>310</v>
      </c>
      <c r="E160" s="38">
        <v>2375</v>
      </c>
      <c r="F160" s="36">
        <v>2375</v>
      </c>
      <c r="G160" s="38">
        <v>10</v>
      </c>
      <c r="H160" s="36">
        <v>10</v>
      </c>
      <c r="I160" s="36">
        <v>100</v>
      </c>
      <c r="J160" s="60">
        <v>0.11</v>
      </c>
      <c r="K160" s="40">
        <f t="shared" si="12"/>
        <v>2.375</v>
      </c>
      <c r="L160" s="40">
        <f t="shared" si="10"/>
        <v>0.71250000000000002</v>
      </c>
      <c r="M160" s="40">
        <f t="shared" si="11"/>
        <v>2.6124999999999998</v>
      </c>
      <c r="N160" s="40">
        <f t="shared" si="14"/>
        <v>5.6999999999999993</v>
      </c>
    </row>
    <row r="161" spans="1:14" x14ac:dyDescent="0.25">
      <c r="A161" s="35">
        <f t="shared" si="13"/>
        <v>158</v>
      </c>
      <c r="B161" s="36">
        <v>51</v>
      </c>
      <c r="C161" s="42" t="s">
        <v>560</v>
      </c>
      <c r="D161" s="36" t="s">
        <v>347</v>
      </c>
      <c r="E161" s="38">
        <v>11215</v>
      </c>
      <c r="F161" s="36">
        <v>11215</v>
      </c>
      <c r="G161" s="38">
        <v>10</v>
      </c>
      <c r="H161" s="36">
        <v>10</v>
      </c>
      <c r="I161" s="36">
        <v>100</v>
      </c>
      <c r="J161" s="60">
        <v>0.04</v>
      </c>
      <c r="K161" s="40">
        <f t="shared" si="12"/>
        <v>11.215</v>
      </c>
      <c r="L161" s="40">
        <f t="shared" si="10"/>
        <v>3.3645</v>
      </c>
      <c r="M161" s="40">
        <f t="shared" si="11"/>
        <v>4.4860000000000007</v>
      </c>
      <c r="N161" s="40">
        <f t="shared" si="14"/>
        <v>19.0655</v>
      </c>
    </row>
    <row r="162" spans="1:14" x14ac:dyDescent="0.25">
      <c r="A162" s="35">
        <f t="shared" si="13"/>
        <v>159</v>
      </c>
      <c r="B162" s="36">
        <v>52</v>
      </c>
      <c r="C162" s="42" t="s">
        <v>561</v>
      </c>
      <c r="D162" s="36" t="s">
        <v>343</v>
      </c>
      <c r="E162" s="38">
        <v>15927</v>
      </c>
      <c r="F162" s="36">
        <v>15927</v>
      </c>
      <c r="G162" s="38">
        <v>10</v>
      </c>
      <c r="H162" s="36">
        <v>10</v>
      </c>
      <c r="I162" s="36">
        <v>100</v>
      </c>
      <c r="J162" s="60">
        <v>0.04</v>
      </c>
      <c r="K162" s="40">
        <f t="shared" si="12"/>
        <v>15.927</v>
      </c>
      <c r="L162" s="40">
        <f t="shared" si="10"/>
        <v>4.7781000000000002</v>
      </c>
      <c r="M162" s="40">
        <f t="shared" si="11"/>
        <v>6.3708</v>
      </c>
      <c r="N162" s="40">
        <f t="shared" si="14"/>
        <v>27.075900000000001</v>
      </c>
    </row>
    <row r="163" spans="1:14" x14ac:dyDescent="0.25">
      <c r="A163" s="35">
        <f t="shared" si="13"/>
        <v>160</v>
      </c>
      <c r="B163" s="36">
        <v>53</v>
      </c>
      <c r="C163" s="42" t="s">
        <v>349</v>
      </c>
      <c r="D163" s="36" t="s">
        <v>234</v>
      </c>
      <c r="E163" s="38">
        <v>840</v>
      </c>
      <c r="F163" s="36">
        <v>840</v>
      </c>
      <c r="G163" s="38">
        <v>10</v>
      </c>
      <c r="H163" s="36">
        <v>10</v>
      </c>
      <c r="I163" s="36">
        <v>100</v>
      </c>
      <c r="J163" s="60">
        <v>0.16</v>
      </c>
      <c r="K163" s="40">
        <f t="shared" si="12"/>
        <v>0.84</v>
      </c>
      <c r="L163" s="40">
        <f t="shared" si="10"/>
        <v>0.252</v>
      </c>
      <c r="M163" s="40">
        <f t="shared" si="11"/>
        <v>1.3440000000000001</v>
      </c>
      <c r="N163" s="40">
        <f t="shared" si="14"/>
        <v>2.4359999999999999</v>
      </c>
    </row>
    <row r="164" spans="1:14" x14ac:dyDescent="0.25">
      <c r="A164" s="35">
        <f t="shared" si="13"/>
        <v>161</v>
      </c>
      <c r="B164" s="36">
        <v>54</v>
      </c>
      <c r="C164" s="42" t="s">
        <v>562</v>
      </c>
      <c r="D164" s="36" t="s">
        <v>350</v>
      </c>
      <c r="E164" s="38">
        <v>15197</v>
      </c>
      <c r="F164" s="36">
        <v>15197</v>
      </c>
      <c r="G164" s="38">
        <v>10</v>
      </c>
      <c r="H164" s="36">
        <v>10</v>
      </c>
      <c r="I164" s="36">
        <v>100</v>
      </c>
      <c r="J164" s="60">
        <v>0.04</v>
      </c>
      <c r="K164" s="40">
        <f t="shared" si="12"/>
        <v>15.196999999999999</v>
      </c>
      <c r="L164" s="40">
        <f t="shared" si="10"/>
        <v>4.5590999999999999</v>
      </c>
      <c r="M164" s="40">
        <f t="shared" si="11"/>
        <v>6.0788000000000002</v>
      </c>
      <c r="N164" s="40">
        <f t="shared" si="14"/>
        <v>25.834900000000001</v>
      </c>
    </row>
    <row r="165" spans="1:14" x14ac:dyDescent="0.25">
      <c r="A165" s="35">
        <f t="shared" si="13"/>
        <v>162</v>
      </c>
      <c r="B165" s="36">
        <v>55</v>
      </c>
      <c r="C165" s="42" t="s">
        <v>563</v>
      </c>
      <c r="D165" s="36" t="s">
        <v>351</v>
      </c>
      <c r="E165" s="38">
        <v>19507</v>
      </c>
      <c r="F165" s="36">
        <v>19507</v>
      </c>
      <c r="G165" s="38">
        <v>10</v>
      </c>
      <c r="H165" s="36">
        <v>10</v>
      </c>
      <c r="I165" s="36">
        <v>100</v>
      </c>
      <c r="J165" s="60">
        <v>0.04</v>
      </c>
      <c r="K165" s="40">
        <f t="shared" si="12"/>
        <v>19.507000000000001</v>
      </c>
      <c r="L165" s="40">
        <f t="shared" si="10"/>
        <v>5.8520999999999992</v>
      </c>
      <c r="M165" s="40">
        <f t="shared" si="11"/>
        <v>7.8027999999999995</v>
      </c>
      <c r="N165" s="40">
        <f t="shared" si="14"/>
        <v>33.161900000000003</v>
      </c>
    </row>
    <row r="166" spans="1:14" x14ac:dyDescent="0.25">
      <c r="A166" s="35">
        <f t="shared" si="13"/>
        <v>163</v>
      </c>
      <c r="B166" s="36">
        <v>55</v>
      </c>
      <c r="C166" s="42" t="s">
        <v>563</v>
      </c>
      <c r="D166" s="36" t="s">
        <v>352</v>
      </c>
      <c r="E166" s="38">
        <v>21590</v>
      </c>
      <c r="F166" s="36">
        <v>21590</v>
      </c>
      <c r="G166" s="38">
        <v>10</v>
      </c>
      <c r="H166" s="36">
        <v>10</v>
      </c>
      <c r="I166" s="36">
        <v>100</v>
      </c>
      <c r="J166" s="60">
        <v>0.04</v>
      </c>
      <c r="K166" s="40">
        <f t="shared" si="12"/>
        <v>21.59</v>
      </c>
      <c r="L166" s="40">
        <f t="shared" si="10"/>
        <v>6.4770000000000003</v>
      </c>
      <c r="M166" s="40">
        <f t="shared" si="11"/>
        <v>8.636000000000001</v>
      </c>
      <c r="N166" s="40">
        <f t="shared" si="14"/>
        <v>36.703000000000003</v>
      </c>
    </row>
    <row r="167" spans="1:14" x14ac:dyDescent="0.25">
      <c r="A167" s="35">
        <f t="shared" si="13"/>
        <v>164</v>
      </c>
      <c r="B167" s="36">
        <v>56</v>
      </c>
      <c r="C167" s="42" t="s">
        <v>353</v>
      </c>
      <c r="D167" s="36" t="s">
        <v>354</v>
      </c>
      <c r="E167" s="38">
        <v>3478</v>
      </c>
      <c r="F167" s="36">
        <v>3470</v>
      </c>
      <c r="G167" s="38">
        <v>10</v>
      </c>
      <c r="H167" s="36">
        <v>10</v>
      </c>
      <c r="I167" s="36">
        <v>100</v>
      </c>
      <c r="J167" s="60">
        <v>0.03</v>
      </c>
      <c r="K167" s="40">
        <f t="shared" si="12"/>
        <v>3.47</v>
      </c>
      <c r="L167" s="40">
        <f t="shared" si="10"/>
        <v>1.0410000000000001</v>
      </c>
      <c r="M167" s="40">
        <f t="shared" si="11"/>
        <v>1.0409999999999999</v>
      </c>
      <c r="N167" s="40">
        <f t="shared" si="14"/>
        <v>5.5519999999999996</v>
      </c>
    </row>
    <row r="168" spans="1:14" x14ac:dyDescent="0.25">
      <c r="A168" s="35">
        <f t="shared" si="13"/>
        <v>165</v>
      </c>
      <c r="B168" s="36">
        <v>56</v>
      </c>
      <c r="C168" s="42" t="s">
        <v>353</v>
      </c>
      <c r="D168" s="36" t="s">
        <v>355</v>
      </c>
      <c r="E168" s="38">
        <v>4418</v>
      </c>
      <c r="F168" s="36">
        <v>4418</v>
      </c>
      <c r="G168" s="38">
        <v>10</v>
      </c>
      <c r="H168" s="36">
        <v>10</v>
      </c>
      <c r="I168" s="36">
        <v>100</v>
      </c>
      <c r="J168" s="60">
        <v>0.03</v>
      </c>
      <c r="K168" s="40">
        <f t="shared" si="12"/>
        <v>4.4180000000000001</v>
      </c>
      <c r="L168" s="40">
        <f t="shared" si="10"/>
        <v>1.3253999999999999</v>
      </c>
      <c r="M168" s="40">
        <f t="shared" si="11"/>
        <v>1.3253999999999999</v>
      </c>
      <c r="N168" s="40">
        <f t="shared" si="14"/>
        <v>7.0688000000000004</v>
      </c>
    </row>
    <row r="169" spans="1:14" x14ac:dyDescent="0.25">
      <c r="A169" s="35">
        <f t="shared" si="13"/>
        <v>166</v>
      </c>
      <c r="B169" s="36">
        <v>56</v>
      </c>
      <c r="C169" s="42" t="s">
        <v>353</v>
      </c>
      <c r="D169" s="36" t="s">
        <v>356</v>
      </c>
      <c r="E169" s="38">
        <v>5172</v>
      </c>
      <c r="F169" s="36">
        <v>5172</v>
      </c>
      <c r="G169" s="38">
        <v>10</v>
      </c>
      <c r="H169" s="36">
        <v>10</v>
      </c>
      <c r="I169" s="36">
        <v>100</v>
      </c>
      <c r="J169" s="60">
        <v>0.03</v>
      </c>
      <c r="K169" s="40">
        <f t="shared" si="12"/>
        <v>5.1719999999999997</v>
      </c>
      <c r="L169" s="40">
        <f t="shared" si="10"/>
        <v>1.5515999999999999</v>
      </c>
      <c r="M169" s="40">
        <f t="shared" si="11"/>
        <v>1.5515999999999999</v>
      </c>
      <c r="N169" s="40">
        <f t="shared" si="14"/>
        <v>8.2751999999999999</v>
      </c>
    </row>
    <row r="170" spans="1:14" x14ac:dyDescent="0.25">
      <c r="A170" s="35">
        <f t="shared" si="13"/>
        <v>167</v>
      </c>
      <c r="B170" s="36">
        <v>56</v>
      </c>
      <c r="C170" s="42" t="s">
        <v>353</v>
      </c>
      <c r="D170" s="36" t="s">
        <v>223</v>
      </c>
      <c r="E170" s="38">
        <v>5831</v>
      </c>
      <c r="F170" s="36">
        <v>5831</v>
      </c>
      <c r="G170" s="38">
        <v>10</v>
      </c>
      <c r="H170" s="36">
        <v>10</v>
      </c>
      <c r="I170" s="36">
        <v>100</v>
      </c>
      <c r="J170" s="60">
        <v>0.03</v>
      </c>
      <c r="K170" s="40">
        <f t="shared" si="12"/>
        <v>5.8310000000000004</v>
      </c>
      <c r="L170" s="40">
        <f t="shared" si="10"/>
        <v>1.7493000000000001</v>
      </c>
      <c r="M170" s="40">
        <f t="shared" si="11"/>
        <v>1.7493000000000001</v>
      </c>
      <c r="N170" s="40">
        <f t="shared" si="14"/>
        <v>9.329600000000001</v>
      </c>
    </row>
    <row r="171" spans="1:14" x14ac:dyDescent="0.25">
      <c r="A171" s="35">
        <f t="shared" si="13"/>
        <v>168</v>
      </c>
      <c r="B171" s="36">
        <v>56</v>
      </c>
      <c r="C171" s="42" t="s">
        <v>353</v>
      </c>
      <c r="D171" s="36" t="s">
        <v>357</v>
      </c>
      <c r="E171" s="38">
        <v>6771</v>
      </c>
      <c r="F171" s="36">
        <v>6771</v>
      </c>
      <c r="G171" s="38">
        <v>10</v>
      </c>
      <c r="H171" s="36">
        <v>10</v>
      </c>
      <c r="I171" s="36">
        <v>100</v>
      </c>
      <c r="J171" s="60">
        <v>0.03</v>
      </c>
      <c r="K171" s="40">
        <f t="shared" si="12"/>
        <v>6.7709999999999999</v>
      </c>
      <c r="L171" s="40">
        <f t="shared" si="10"/>
        <v>2.0312999999999999</v>
      </c>
      <c r="M171" s="40">
        <f t="shared" si="11"/>
        <v>2.0312999999999999</v>
      </c>
      <c r="N171" s="40">
        <f t="shared" si="14"/>
        <v>10.833599999999999</v>
      </c>
    </row>
    <row r="172" spans="1:14" x14ac:dyDescent="0.25">
      <c r="A172" s="35">
        <f t="shared" si="13"/>
        <v>169</v>
      </c>
      <c r="B172" s="36">
        <v>56</v>
      </c>
      <c r="C172" s="42" t="s">
        <v>353</v>
      </c>
      <c r="D172" s="36" t="s">
        <v>358</v>
      </c>
      <c r="E172" s="38">
        <v>7710</v>
      </c>
      <c r="F172" s="36">
        <v>7710</v>
      </c>
      <c r="G172" s="38">
        <v>10</v>
      </c>
      <c r="H172" s="36">
        <v>10</v>
      </c>
      <c r="I172" s="36">
        <v>100</v>
      </c>
      <c r="J172" s="60">
        <v>0.03</v>
      </c>
      <c r="K172" s="40">
        <f t="shared" si="12"/>
        <v>7.71</v>
      </c>
      <c r="L172" s="40">
        <f t="shared" si="10"/>
        <v>2.3129999999999997</v>
      </c>
      <c r="M172" s="40">
        <f t="shared" si="11"/>
        <v>2.3129999999999997</v>
      </c>
      <c r="N172" s="40">
        <f t="shared" si="14"/>
        <v>12.335999999999999</v>
      </c>
    </row>
    <row r="173" spans="1:14" x14ac:dyDescent="0.25">
      <c r="A173" s="35">
        <f t="shared" si="13"/>
        <v>170</v>
      </c>
      <c r="B173" s="36">
        <v>56</v>
      </c>
      <c r="C173" s="42" t="s">
        <v>353</v>
      </c>
      <c r="D173" s="36" t="s">
        <v>359</v>
      </c>
      <c r="E173" s="38">
        <v>8650</v>
      </c>
      <c r="F173" s="36">
        <v>8650</v>
      </c>
      <c r="G173" s="38">
        <v>10</v>
      </c>
      <c r="H173" s="36">
        <v>10</v>
      </c>
      <c r="I173" s="36">
        <v>100</v>
      </c>
      <c r="J173" s="60">
        <v>0.03</v>
      </c>
      <c r="K173" s="40">
        <f t="shared" si="12"/>
        <v>8.65</v>
      </c>
      <c r="L173" s="40">
        <f t="shared" si="10"/>
        <v>2.5949999999999998</v>
      </c>
      <c r="M173" s="40">
        <f t="shared" si="11"/>
        <v>2.5950000000000002</v>
      </c>
      <c r="N173" s="40">
        <f t="shared" si="14"/>
        <v>13.840000000000002</v>
      </c>
    </row>
    <row r="174" spans="1:14" x14ac:dyDescent="0.25">
      <c r="A174" s="35">
        <f t="shared" si="13"/>
        <v>171</v>
      </c>
      <c r="B174" s="36">
        <v>56</v>
      </c>
      <c r="C174" s="42" t="s">
        <v>353</v>
      </c>
      <c r="D174" s="36" t="s">
        <v>360</v>
      </c>
      <c r="E174" s="38">
        <v>10063</v>
      </c>
      <c r="F174" s="36">
        <v>10063</v>
      </c>
      <c r="G174" s="38">
        <v>10</v>
      </c>
      <c r="H174" s="36">
        <v>10</v>
      </c>
      <c r="I174" s="36">
        <v>100</v>
      </c>
      <c r="J174" s="60">
        <v>0.03</v>
      </c>
      <c r="K174" s="40">
        <f t="shared" si="12"/>
        <v>10.063000000000001</v>
      </c>
      <c r="L174" s="40">
        <f t="shared" si="10"/>
        <v>3.0188999999999999</v>
      </c>
      <c r="M174" s="40">
        <f t="shared" si="11"/>
        <v>3.0188999999999999</v>
      </c>
      <c r="N174" s="40">
        <f t="shared" si="14"/>
        <v>16.1008</v>
      </c>
    </row>
    <row r="175" spans="1:14" x14ac:dyDescent="0.25">
      <c r="A175" s="35">
        <f t="shared" si="13"/>
        <v>172</v>
      </c>
      <c r="B175" s="36">
        <v>56</v>
      </c>
      <c r="C175" s="42" t="s">
        <v>353</v>
      </c>
      <c r="D175" s="36" t="s">
        <v>361</v>
      </c>
      <c r="E175" s="38">
        <v>11476</v>
      </c>
      <c r="F175" s="36">
        <v>11476</v>
      </c>
      <c r="G175" s="38">
        <v>10</v>
      </c>
      <c r="H175" s="36">
        <v>10</v>
      </c>
      <c r="I175" s="36">
        <v>100</v>
      </c>
      <c r="J175" s="60">
        <v>0.03</v>
      </c>
      <c r="K175" s="40">
        <f t="shared" si="12"/>
        <v>11.476000000000001</v>
      </c>
      <c r="L175" s="40">
        <f t="shared" si="10"/>
        <v>3.4428000000000001</v>
      </c>
      <c r="M175" s="40">
        <f t="shared" si="11"/>
        <v>3.4427999999999996</v>
      </c>
      <c r="N175" s="40">
        <f t="shared" si="14"/>
        <v>18.361599999999999</v>
      </c>
    </row>
    <row r="176" spans="1:14" x14ac:dyDescent="0.25">
      <c r="A176" s="35">
        <f t="shared" si="13"/>
        <v>173</v>
      </c>
      <c r="B176" s="36">
        <v>57</v>
      </c>
      <c r="C176" s="42" t="s">
        <v>362</v>
      </c>
      <c r="D176" s="36" t="s">
        <v>354</v>
      </c>
      <c r="E176" s="38">
        <v>2576</v>
      </c>
      <c r="F176" s="36">
        <v>2576</v>
      </c>
      <c r="G176" s="38">
        <v>10</v>
      </c>
      <c r="H176" s="36">
        <v>10</v>
      </c>
      <c r="I176" s="36">
        <v>100</v>
      </c>
      <c r="J176" s="60">
        <v>0.03</v>
      </c>
      <c r="K176" s="40">
        <f t="shared" si="12"/>
        <v>2.5760000000000001</v>
      </c>
      <c r="L176" s="40">
        <f t="shared" si="10"/>
        <v>0.77280000000000004</v>
      </c>
      <c r="M176" s="40">
        <f t="shared" si="11"/>
        <v>0.77280000000000004</v>
      </c>
      <c r="N176" s="40">
        <f t="shared" si="14"/>
        <v>4.1215999999999999</v>
      </c>
    </row>
    <row r="177" spans="1:14" x14ac:dyDescent="0.25">
      <c r="A177" s="35">
        <f t="shared" si="13"/>
        <v>174</v>
      </c>
      <c r="B177" s="36">
        <v>57</v>
      </c>
      <c r="C177" s="42" t="s">
        <v>362</v>
      </c>
      <c r="D177" s="36" t="s">
        <v>355</v>
      </c>
      <c r="E177" s="38">
        <v>3273</v>
      </c>
      <c r="F177" s="36">
        <v>3273</v>
      </c>
      <c r="G177" s="38">
        <v>10</v>
      </c>
      <c r="H177" s="36">
        <v>10</v>
      </c>
      <c r="I177" s="36">
        <v>100</v>
      </c>
      <c r="J177" s="60">
        <v>0.03</v>
      </c>
      <c r="K177" s="40">
        <f t="shared" si="12"/>
        <v>3.2730000000000001</v>
      </c>
      <c r="L177" s="40">
        <f t="shared" si="10"/>
        <v>0.98189999999999988</v>
      </c>
      <c r="M177" s="40">
        <f t="shared" si="11"/>
        <v>0.9819</v>
      </c>
      <c r="N177" s="40">
        <f t="shared" si="14"/>
        <v>5.2368000000000006</v>
      </c>
    </row>
    <row r="178" spans="1:14" x14ac:dyDescent="0.25">
      <c r="A178" s="35">
        <f t="shared" si="13"/>
        <v>175</v>
      </c>
      <c r="B178" s="36">
        <v>57</v>
      </c>
      <c r="C178" s="42" t="s">
        <v>362</v>
      </c>
      <c r="D178" s="36" t="s">
        <v>356</v>
      </c>
      <c r="E178" s="38">
        <v>3831</v>
      </c>
      <c r="F178" s="36">
        <v>3831</v>
      </c>
      <c r="G178" s="38">
        <v>10</v>
      </c>
      <c r="H178" s="36">
        <v>10</v>
      </c>
      <c r="I178" s="36">
        <v>100</v>
      </c>
      <c r="J178" s="60">
        <v>0.03</v>
      </c>
      <c r="K178" s="40">
        <f t="shared" si="12"/>
        <v>3.831</v>
      </c>
      <c r="L178" s="40">
        <f t="shared" si="10"/>
        <v>1.1493</v>
      </c>
      <c r="M178" s="40">
        <f t="shared" si="11"/>
        <v>1.1493</v>
      </c>
      <c r="N178" s="40">
        <f t="shared" si="14"/>
        <v>6.1295999999999999</v>
      </c>
    </row>
    <row r="179" spans="1:14" x14ac:dyDescent="0.25">
      <c r="A179" s="35">
        <f t="shared" si="13"/>
        <v>176</v>
      </c>
      <c r="B179" s="36">
        <v>57</v>
      </c>
      <c r="C179" s="42" t="s">
        <v>362</v>
      </c>
      <c r="D179" s="36" t="s">
        <v>223</v>
      </c>
      <c r="E179" s="38">
        <v>4319</v>
      </c>
      <c r="F179" s="36">
        <v>4319</v>
      </c>
      <c r="G179" s="38">
        <v>10</v>
      </c>
      <c r="H179" s="36">
        <v>10</v>
      </c>
      <c r="I179" s="36">
        <v>100</v>
      </c>
      <c r="J179" s="60">
        <v>0.03</v>
      </c>
      <c r="K179" s="40">
        <f t="shared" si="12"/>
        <v>4.319</v>
      </c>
      <c r="L179" s="40">
        <f t="shared" si="10"/>
        <v>1.2956999999999999</v>
      </c>
      <c r="M179" s="40">
        <f t="shared" si="11"/>
        <v>1.2956999999999999</v>
      </c>
      <c r="N179" s="40">
        <f t="shared" si="14"/>
        <v>6.9104000000000001</v>
      </c>
    </row>
    <row r="180" spans="1:14" x14ac:dyDescent="0.25">
      <c r="A180" s="35">
        <f t="shared" si="13"/>
        <v>177</v>
      </c>
      <c r="B180" s="36">
        <v>57</v>
      </c>
      <c r="C180" s="42" t="s">
        <v>362</v>
      </c>
      <c r="D180" s="36" t="s">
        <v>357</v>
      </c>
      <c r="E180" s="38">
        <v>5015</v>
      </c>
      <c r="F180" s="36">
        <v>5015</v>
      </c>
      <c r="G180" s="38">
        <v>10</v>
      </c>
      <c r="H180" s="36">
        <v>10</v>
      </c>
      <c r="I180" s="36">
        <v>100</v>
      </c>
      <c r="J180" s="60">
        <v>0.03</v>
      </c>
      <c r="K180" s="40">
        <f t="shared" si="12"/>
        <v>5.0149999999999997</v>
      </c>
      <c r="L180" s="40">
        <f t="shared" si="10"/>
        <v>1.5044999999999999</v>
      </c>
      <c r="M180" s="40">
        <f t="shared" si="11"/>
        <v>1.5044999999999999</v>
      </c>
      <c r="N180" s="40">
        <f t="shared" si="14"/>
        <v>8.0239999999999991</v>
      </c>
    </row>
    <row r="181" spans="1:14" x14ac:dyDescent="0.25">
      <c r="A181" s="35">
        <f t="shared" si="13"/>
        <v>178</v>
      </c>
      <c r="B181" s="36">
        <v>57</v>
      </c>
      <c r="C181" s="42" t="s">
        <v>362</v>
      </c>
      <c r="D181" s="36" t="s">
        <v>358</v>
      </c>
      <c r="E181" s="38">
        <v>5711</v>
      </c>
      <c r="F181" s="36">
        <v>5711</v>
      </c>
      <c r="G181" s="38">
        <v>10</v>
      </c>
      <c r="H181" s="36">
        <v>10</v>
      </c>
      <c r="I181" s="36">
        <v>100</v>
      </c>
      <c r="J181" s="60">
        <v>0.03</v>
      </c>
      <c r="K181" s="40">
        <f t="shared" si="12"/>
        <v>5.7110000000000003</v>
      </c>
      <c r="L181" s="40">
        <f t="shared" si="10"/>
        <v>1.7132999999999998</v>
      </c>
      <c r="M181" s="40">
        <f t="shared" si="11"/>
        <v>1.7132999999999998</v>
      </c>
      <c r="N181" s="40">
        <f t="shared" si="14"/>
        <v>9.1376000000000008</v>
      </c>
    </row>
    <row r="182" spans="1:14" x14ac:dyDescent="0.25">
      <c r="A182" s="35">
        <f t="shared" si="13"/>
        <v>179</v>
      </c>
      <c r="B182" s="36">
        <v>57</v>
      </c>
      <c r="C182" s="42" t="s">
        <v>362</v>
      </c>
      <c r="D182" s="36" t="s">
        <v>359</v>
      </c>
      <c r="E182" s="38">
        <v>6408</v>
      </c>
      <c r="F182" s="36">
        <v>6408</v>
      </c>
      <c r="G182" s="38">
        <v>10</v>
      </c>
      <c r="H182" s="36">
        <v>10</v>
      </c>
      <c r="I182" s="36">
        <v>100</v>
      </c>
      <c r="J182" s="60">
        <v>0.03</v>
      </c>
      <c r="K182" s="40">
        <f t="shared" si="12"/>
        <v>6.4080000000000004</v>
      </c>
      <c r="L182" s="40">
        <f t="shared" si="10"/>
        <v>1.9223999999999999</v>
      </c>
      <c r="M182" s="40">
        <f t="shared" si="11"/>
        <v>1.9223999999999999</v>
      </c>
      <c r="N182" s="40">
        <f t="shared" si="14"/>
        <v>10.252800000000001</v>
      </c>
    </row>
    <row r="183" spans="1:14" x14ac:dyDescent="0.25">
      <c r="A183" s="35">
        <f t="shared" si="13"/>
        <v>180</v>
      </c>
      <c r="B183" s="36">
        <v>57</v>
      </c>
      <c r="C183" s="42" t="s">
        <v>362</v>
      </c>
      <c r="D183" s="36" t="s">
        <v>360</v>
      </c>
      <c r="E183" s="38">
        <v>7454</v>
      </c>
      <c r="F183" s="36">
        <v>7454</v>
      </c>
      <c r="G183" s="38">
        <v>10</v>
      </c>
      <c r="H183" s="36">
        <v>10</v>
      </c>
      <c r="I183" s="36">
        <v>100</v>
      </c>
      <c r="J183" s="60">
        <v>0.03</v>
      </c>
      <c r="K183" s="40">
        <f t="shared" si="12"/>
        <v>7.4539999999999997</v>
      </c>
      <c r="L183" s="40">
        <f t="shared" si="10"/>
        <v>2.2362000000000002</v>
      </c>
      <c r="M183" s="40">
        <f t="shared" si="11"/>
        <v>2.2362000000000002</v>
      </c>
      <c r="N183" s="40">
        <f t="shared" si="14"/>
        <v>11.926400000000001</v>
      </c>
    </row>
    <row r="184" spans="1:14" x14ac:dyDescent="0.25">
      <c r="A184" s="35">
        <f t="shared" si="13"/>
        <v>181</v>
      </c>
      <c r="B184" s="36">
        <v>57</v>
      </c>
      <c r="C184" s="42" t="s">
        <v>362</v>
      </c>
      <c r="D184" s="36" t="s">
        <v>361</v>
      </c>
      <c r="E184" s="38">
        <v>8500</v>
      </c>
      <c r="F184" s="36">
        <v>8500</v>
      </c>
      <c r="G184" s="38">
        <v>10</v>
      </c>
      <c r="H184" s="36">
        <v>10</v>
      </c>
      <c r="I184" s="36">
        <v>100</v>
      </c>
      <c r="J184" s="60">
        <v>0.03</v>
      </c>
      <c r="K184" s="40">
        <f t="shared" si="12"/>
        <v>8.5</v>
      </c>
      <c r="L184" s="40">
        <f t="shared" si="10"/>
        <v>2.5499999999999998</v>
      </c>
      <c r="M184" s="40">
        <f t="shared" si="11"/>
        <v>2.5499999999999998</v>
      </c>
      <c r="N184" s="40">
        <f t="shared" si="14"/>
        <v>13.600000000000001</v>
      </c>
    </row>
    <row r="185" spans="1:14" x14ac:dyDescent="0.25">
      <c r="A185" s="35">
        <f t="shared" si="13"/>
        <v>182</v>
      </c>
      <c r="B185" s="36">
        <v>58</v>
      </c>
      <c r="C185" s="42" t="s">
        <v>564</v>
      </c>
      <c r="D185" s="36" t="s">
        <v>345</v>
      </c>
      <c r="E185" s="38">
        <v>1607</v>
      </c>
      <c r="F185" s="36">
        <v>1607</v>
      </c>
      <c r="G185" s="38">
        <v>10</v>
      </c>
      <c r="H185" s="36">
        <v>10</v>
      </c>
      <c r="I185" s="36">
        <v>100</v>
      </c>
      <c r="J185" s="60">
        <v>0.04</v>
      </c>
      <c r="K185" s="40">
        <f t="shared" si="12"/>
        <v>1.607</v>
      </c>
      <c r="L185" s="40">
        <f t="shared" si="10"/>
        <v>0.48209999999999997</v>
      </c>
      <c r="M185" s="40">
        <f t="shared" si="11"/>
        <v>0.64280000000000004</v>
      </c>
      <c r="N185" s="40">
        <f t="shared" si="14"/>
        <v>2.7319000000000004</v>
      </c>
    </row>
    <row r="186" spans="1:14" x14ac:dyDescent="0.25">
      <c r="A186" s="35">
        <f t="shared" si="13"/>
        <v>183</v>
      </c>
      <c r="B186" s="36">
        <v>59</v>
      </c>
      <c r="C186" s="42" t="s">
        <v>363</v>
      </c>
      <c r="D186" s="36" t="s">
        <v>345</v>
      </c>
      <c r="E186" s="38">
        <v>1793</v>
      </c>
      <c r="F186" s="36">
        <v>1793</v>
      </c>
      <c r="G186" s="38">
        <v>10</v>
      </c>
      <c r="H186" s="36">
        <v>10</v>
      </c>
      <c r="I186" s="36">
        <v>100</v>
      </c>
      <c r="J186" s="60">
        <v>0.1</v>
      </c>
      <c r="K186" s="40">
        <f t="shared" si="12"/>
        <v>1.7929999999999999</v>
      </c>
      <c r="L186" s="40">
        <f t="shared" si="10"/>
        <v>0.53789999999999993</v>
      </c>
      <c r="M186" s="40">
        <f t="shared" si="11"/>
        <v>1.7930000000000001</v>
      </c>
      <c r="N186" s="40">
        <f t="shared" si="14"/>
        <v>4.1238999999999999</v>
      </c>
    </row>
    <row r="187" spans="1:14" x14ac:dyDescent="0.25">
      <c r="A187" s="35">
        <f t="shared" si="13"/>
        <v>184</v>
      </c>
      <c r="B187" s="36">
        <v>60</v>
      </c>
      <c r="C187" s="42" t="s">
        <v>364</v>
      </c>
      <c r="D187" s="36" t="s">
        <v>230</v>
      </c>
      <c r="E187" s="38">
        <v>1059</v>
      </c>
      <c r="F187" s="36">
        <v>1059</v>
      </c>
      <c r="G187" s="38">
        <v>10</v>
      </c>
      <c r="H187" s="36">
        <v>10</v>
      </c>
      <c r="I187" s="36">
        <v>100</v>
      </c>
      <c r="J187" s="60">
        <v>0.1</v>
      </c>
      <c r="K187" s="40">
        <f t="shared" si="12"/>
        <v>1.0589999999999999</v>
      </c>
      <c r="L187" s="40">
        <f t="shared" si="10"/>
        <v>0.31769999999999998</v>
      </c>
      <c r="M187" s="40">
        <f t="shared" si="11"/>
        <v>1.0590000000000002</v>
      </c>
      <c r="N187" s="40">
        <f t="shared" si="14"/>
        <v>2.4357000000000002</v>
      </c>
    </row>
    <row r="188" spans="1:14" x14ac:dyDescent="0.25">
      <c r="A188" s="35">
        <f t="shared" si="13"/>
        <v>185</v>
      </c>
      <c r="B188" s="36">
        <v>60</v>
      </c>
      <c r="C188" s="42" t="s">
        <v>364</v>
      </c>
      <c r="D188" s="36" t="s">
        <v>347</v>
      </c>
      <c r="E188" s="38">
        <v>1305</v>
      </c>
      <c r="F188" s="36">
        <v>1305</v>
      </c>
      <c r="G188" s="38">
        <v>10</v>
      </c>
      <c r="H188" s="36">
        <v>10</v>
      </c>
      <c r="I188" s="36">
        <v>100</v>
      </c>
      <c r="J188" s="60">
        <v>0.1</v>
      </c>
      <c r="K188" s="40">
        <f t="shared" si="12"/>
        <v>1.3049999999999999</v>
      </c>
      <c r="L188" s="40">
        <f t="shared" si="10"/>
        <v>0.39150000000000001</v>
      </c>
      <c r="M188" s="40">
        <f t="shared" si="11"/>
        <v>1.3049999999999999</v>
      </c>
      <c r="N188" s="40">
        <f t="shared" si="14"/>
        <v>3.0015000000000001</v>
      </c>
    </row>
    <row r="189" spans="1:14" x14ac:dyDescent="0.25">
      <c r="A189" s="35">
        <f t="shared" si="13"/>
        <v>186</v>
      </c>
      <c r="B189" s="36">
        <v>60</v>
      </c>
      <c r="C189" s="42" t="s">
        <v>364</v>
      </c>
      <c r="D189" s="36" t="s">
        <v>234</v>
      </c>
      <c r="E189" s="38">
        <v>1793</v>
      </c>
      <c r="F189" s="36">
        <v>1793</v>
      </c>
      <c r="G189" s="38">
        <v>10</v>
      </c>
      <c r="H189" s="36">
        <v>10</v>
      </c>
      <c r="I189" s="36">
        <v>100</v>
      </c>
      <c r="J189" s="60">
        <v>0.1</v>
      </c>
      <c r="K189" s="40">
        <f t="shared" si="12"/>
        <v>1.7929999999999999</v>
      </c>
      <c r="L189" s="40">
        <f t="shared" si="10"/>
        <v>0.53789999999999993</v>
      </c>
      <c r="M189" s="40">
        <f t="shared" si="11"/>
        <v>1.7930000000000001</v>
      </c>
      <c r="N189" s="40">
        <f t="shared" si="14"/>
        <v>4.1238999999999999</v>
      </c>
    </row>
    <row r="190" spans="1:14" x14ac:dyDescent="0.25">
      <c r="A190" s="35">
        <f t="shared" si="13"/>
        <v>187</v>
      </c>
      <c r="B190" s="36">
        <v>60</v>
      </c>
      <c r="C190" s="42" t="s">
        <v>364</v>
      </c>
      <c r="D190" s="36" t="s">
        <v>319</v>
      </c>
      <c r="E190" s="38">
        <v>2286</v>
      </c>
      <c r="F190" s="36">
        <v>2286</v>
      </c>
      <c r="G190" s="38">
        <v>10</v>
      </c>
      <c r="H190" s="36">
        <v>10</v>
      </c>
      <c r="I190" s="36">
        <v>100</v>
      </c>
      <c r="J190" s="60">
        <v>0.1</v>
      </c>
      <c r="K190" s="40">
        <f t="shared" si="12"/>
        <v>2.286</v>
      </c>
      <c r="L190" s="40">
        <f t="shared" si="10"/>
        <v>0.68579999999999997</v>
      </c>
      <c r="M190" s="40">
        <f t="shared" si="11"/>
        <v>2.286</v>
      </c>
      <c r="N190" s="40">
        <f t="shared" si="14"/>
        <v>5.2577999999999996</v>
      </c>
    </row>
    <row r="191" spans="1:14" x14ac:dyDescent="0.25">
      <c r="A191" s="35">
        <f t="shared" si="13"/>
        <v>188</v>
      </c>
      <c r="B191" s="36">
        <v>61</v>
      </c>
      <c r="C191" s="42" t="s">
        <v>365</v>
      </c>
      <c r="D191" s="36" t="s">
        <v>234</v>
      </c>
      <c r="E191" s="38">
        <v>13405</v>
      </c>
      <c r="F191" s="36">
        <v>13405</v>
      </c>
      <c r="G191" s="38">
        <v>10</v>
      </c>
      <c r="H191" s="36">
        <v>10</v>
      </c>
      <c r="I191" s="36">
        <v>100</v>
      </c>
      <c r="J191" s="60">
        <v>0.03</v>
      </c>
      <c r="K191" s="40">
        <f t="shared" si="12"/>
        <v>13.404999999999999</v>
      </c>
      <c r="L191" s="40">
        <f t="shared" si="10"/>
        <v>4.0215000000000005</v>
      </c>
      <c r="M191" s="40">
        <f t="shared" si="11"/>
        <v>4.0214999999999996</v>
      </c>
      <c r="N191" s="40">
        <f t="shared" si="14"/>
        <v>21.448</v>
      </c>
    </row>
    <row r="192" spans="1:14" x14ac:dyDescent="0.25">
      <c r="A192" s="35">
        <f t="shared" si="13"/>
        <v>189</v>
      </c>
      <c r="B192" s="36">
        <v>61</v>
      </c>
      <c r="C192" s="42" t="s">
        <v>365</v>
      </c>
      <c r="D192" s="36" t="s">
        <v>366</v>
      </c>
      <c r="E192" s="38">
        <v>14547</v>
      </c>
      <c r="F192" s="36">
        <v>14547</v>
      </c>
      <c r="G192" s="38">
        <v>10</v>
      </c>
      <c r="H192" s="36">
        <v>10</v>
      </c>
      <c r="I192" s="36">
        <v>100</v>
      </c>
      <c r="J192" s="60">
        <v>0.03</v>
      </c>
      <c r="K192" s="40">
        <f t="shared" si="12"/>
        <v>14.547000000000001</v>
      </c>
      <c r="L192" s="40">
        <f t="shared" si="10"/>
        <v>4.3640999999999996</v>
      </c>
      <c r="M192" s="40">
        <f t="shared" si="11"/>
        <v>4.3640999999999996</v>
      </c>
      <c r="N192" s="40">
        <f t="shared" si="14"/>
        <v>23.275200000000002</v>
      </c>
    </row>
    <row r="193" spans="1:14" x14ac:dyDescent="0.25">
      <c r="A193" s="35">
        <f t="shared" si="13"/>
        <v>190</v>
      </c>
      <c r="B193" s="36">
        <v>61</v>
      </c>
      <c r="C193" s="42" t="s">
        <v>365</v>
      </c>
      <c r="D193" s="36" t="s">
        <v>319</v>
      </c>
      <c r="E193" s="38">
        <v>15690</v>
      </c>
      <c r="F193" s="36">
        <v>15690</v>
      </c>
      <c r="G193" s="38">
        <v>10</v>
      </c>
      <c r="H193" s="36">
        <v>10</v>
      </c>
      <c r="I193" s="36">
        <v>100</v>
      </c>
      <c r="J193" s="60">
        <v>0.03</v>
      </c>
      <c r="K193" s="40">
        <f t="shared" si="12"/>
        <v>15.69</v>
      </c>
      <c r="L193" s="40">
        <f t="shared" si="10"/>
        <v>4.7069999999999999</v>
      </c>
      <c r="M193" s="40">
        <f t="shared" si="11"/>
        <v>4.7069999999999999</v>
      </c>
      <c r="N193" s="40">
        <f t="shared" si="14"/>
        <v>25.103999999999999</v>
      </c>
    </row>
    <row r="194" spans="1:14" x14ac:dyDescent="0.25">
      <c r="A194" s="35">
        <f t="shared" si="13"/>
        <v>191</v>
      </c>
      <c r="B194" s="36">
        <v>62</v>
      </c>
      <c r="C194" s="42" t="s">
        <v>367</v>
      </c>
      <c r="D194" s="36" t="s">
        <v>368</v>
      </c>
      <c r="E194" s="38">
        <v>1556</v>
      </c>
      <c r="F194" s="36">
        <v>1556</v>
      </c>
      <c r="G194" s="38">
        <v>10</v>
      </c>
      <c r="H194" s="36">
        <v>10</v>
      </c>
      <c r="I194" s="36">
        <v>100</v>
      </c>
      <c r="J194" s="60">
        <v>0.1</v>
      </c>
      <c r="K194" s="40">
        <f t="shared" si="12"/>
        <v>1.556</v>
      </c>
      <c r="L194" s="40">
        <f t="shared" si="10"/>
        <v>0.46679999999999999</v>
      </c>
      <c r="M194" s="40">
        <f t="shared" si="11"/>
        <v>1.5560000000000003</v>
      </c>
      <c r="N194" s="40">
        <f t="shared" si="14"/>
        <v>3.5788000000000002</v>
      </c>
    </row>
    <row r="195" spans="1:14" x14ac:dyDescent="0.25">
      <c r="A195" s="35">
        <f t="shared" si="13"/>
        <v>192</v>
      </c>
      <c r="B195" s="36">
        <v>63</v>
      </c>
      <c r="C195" s="42" t="s">
        <v>369</v>
      </c>
      <c r="D195" s="36" t="s">
        <v>370</v>
      </c>
      <c r="E195" s="38">
        <v>1809</v>
      </c>
      <c r="F195" s="36">
        <v>1809</v>
      </c>
      <c r="G195" s="38">
        <v>10</v>
      </c>
      <c r="H195" s="36">
        <v>10</v>
      </c>
      <c r="I195" s="36">
        <v>100</v>
      </c>
      <c r="J195" s="60">
        <v>0.04</v>
      </c>
      <c r="K195" s="40">
        <f t="shared" si="12"/>
        <v>1.8089999999999999</v>
      </c>
      <c r="L195" s="40">
        <f t="shared" si="10"/>
        <v>0.54269999999999996</v>
      </c>
      <c r="M195" s="40">
        <f t="shared" si="11"/>
        <v>0.72360000000000002</v>
      </c>
      <c r="N195" s="40">
        <f t="shared" si="14"/>
        <v>3.0753000000000004</v>
      </c>
    </row>
    <row r="196" spans="1:14" x14ac:dyDescent="0.25">
      <c r="A196" s="35">
        <f t="shared" si="13"/>
        <v>193</v>
      </c>
      <c r="B196" s="36">
        <v>64</v>
      </c>
      <c r="C196" s="42" t="s">
        <v>371</v>
      </c>
      <c r="D196" s="36" t="s">
        <v>342</v>
      </c>
      <c r="E196" s="38">
        <v>5157</v>
      </c>
      <c r="F196" s="36">
        <v>5157</v>
      </c>
      <c r="G196" s="38">
        <v>10</v>
      </c>
      <c r="H196" s="36">
        <v>10</v>
      </c>
      <c r="I196" s="36">
        <v>100</v>
      </c>
      <c r="J196" s="60">
        <v>0.04</v>
      </c>
      <c r="K196" s="40">
        <f t="shared" si="12"/>
        <v>5.157</v>
      </c>
      <c r="L196" s="40">
        <f t="shared" ref="L196:L235" si="15">+(F196/I196)*($L$1/100)</f>
        <v>1.5470999999999999</v>
      </c>
      <c r="M196" s="40">
        <f t="shared" ref="M196:M235" si="16">+F196*J196/100</f>
        <v>2.0628000000000002</v>
      </c>
      <c r="N196" s="40">
        <f t="shared" si="14"/>
        <v>8.7668999999999997</v>
      </c>
    </row>
    <row r="197" spans="1:14" x14ac:dyDescent="0.25">
      <c r="A197" s="35">
        <f t="shared" si="13"/>
        <v>194</v>
      </c>
      <c r="B197" s="36">
        <v>65</v>
      </c>
      <c r="C197" s="42" t="s">
        <v>372</v>
      </c>
      <c r="D197" s="36" t="s">
        <v>373</v>
      </c>
      <c r="E197" s="38">
        <v>54942</v>
      </c>
      <c r="F197" s="36">
        <v>54942</v>
      </c>
      <c r="G197" s="38">
        <v>10</v>
      </c>
      <c r="H197" s="36">
        <v>10</v>
      </c>
      <c r="I197" s="36">
        <v>100</v>
      </c>
      <c r="J197" s="60">
        <v>0.03</v>
      </c>
      <c r="K197" s="40">
        <f t="shared" ref="K197:K235" si="17">+F197/(H197*I197)</f>
        <v>54.942</v>
      </c>
      <c r="L197" s="40">
        <f t="shared" si="15"/>
        <v>16.482599999999998</v>
      </c>
      <c r="M197" s="40">
        <f t="shared" si="16"/>
        <v>16.482600000000001</v>
      </c>
      <c r="N197" s="40">
        <f t="shared" si="14"/>
        <v>87.907200000000003</v>
      </c>
    </row>
    <row r="198" spans="1:14" x14ac:dyDescent="0.25">
      <c r="A198" s="35">
        <f t="shared" ref="A198:A235" si="18">+A197+1</f>
        <v>195</v>
      </c>
      <c r="B198" s="36">
        <v>66</v>
      </c>
      <c r="C198" s="42" t="s">
        <v>374</v>
      </c>
      <c r="D198" s="36" t="s">
        <v>375</v>
      </c>
      <c r="E198" s="38">
        <v>3105</v>
      </c>
      <c r="F198" s="36">
        <v>3105</v>
      </c>
      <c r="G198" s="38">
        <v>10</v>
      </c>
      <c r="H198" s="36">
        <v>10</v>
      </c>
      <c r="I198" s="36">
        <v>100</v>
      </c>
      <c r="J198" s="60">
        <v>0.08</v>
      </c>
      <c r="K198" s="40">
        <f t="shared" si="17"/>
        <v>3.105</v>
      </c>
      <c r="L198" s="40">
        <f t="shared" si="15"/>
        <v>0.93149999999999999</v>
      </c>
      <c r="M198" s="40">
        <f t="shared" si="16"/>
        <v>2.484</v>
      </c>
      <c r="N198" s="40">
        <f t="shared" ref="N198:N235" si="19">+K198+L198+M198</f>
        <v>6.5205000000000002</v>
      </c>
    </row>
    <row r="199" spans="1:14" x14ac:dyDescent="0.25">
      <c r="A199" s="35">
        <f t="shared" si="18"/>
        <v>196</v>
      </c>
      <c r="B199" s="36">
        <v>67</v>
      </c>
      <c r="C199" s="42" t="s">
        <v>376</v>
      </c>
      <c r="D199" s="36" t="s">
        <v>377</v>
      </c>
      <c r="E199" s="38">
        <v>5114</v>
      </c>
      <c r="F199" s="36">
        <v>5114</v>
      </c>
      <c r="G199" s="38">
        <v>10</v>
      </c>
      <c r="H199" s="36">
        <v>10</v>
      </c>
      <c r="I199" s="36">
        <v>100</v>
      </c>
      <c r="J199" s="60">
        <v>0.08</v>
      </c>
      <c r="K199" s="40">
        <f t="shared" si="17"/>
        <v>5.1139999999999999</v>
      </c>
      <c r="L199" s="40">
        <f t="shared" si="15"/>
        <v>1.5342</v>
      </c>
      <c r="M199" s="40">
        <f t="shared" si="16"/>
        <v>4.0911999999999997</v>
      </c>
      <c r="N199" s="40">
        <f t="shared" si="19"/>
        <v>10.7394</v>
      </c>
    </row>
    <row r="200" spans="1:14" x14ac:dyDescent="0.25">
      <c r="A200" s="35">
        <f t="shared" si="18"/>
        <v>197</v>
      </c>
      <c r="B200" s="36">
        <v>67</v>
      </c>
      <c r="C200" s="42" t="s">
        <v>376</v>
      </c>
      <c r="D200" s="36" t="s">
        <v>378</v>
      </c>
      <c r="E200" s="38">
        <v>5808</v>
      </c>
      <c r="F200" s="36">
        <v>5808</v>
      </c>
      <c r="G200" s="38">
        <v>10</v>
      </c>
      <c r="H200" s="36">
        <v>10</v>
      </c>
      <c r="I200" s="36">
        <v>100</v>
      </c>
      <c r="J200" s="60">
        <v>0.08</v>
      </c>
      <c r="K200" s="40">
        <f t="shared" si="17"/>
        <v>5.8079999999999998</v>
      </c>
      <c r="L200" s="40">
        <f t="shared" si="15"/>
        <v>1.7423999999999999</v>
      </c>
      <c r="M200" s="40">
        <f t="shared" si="16"/>
        <v>4.6463999999999999</v>
      </c>
      <c r="N200" s="40">
        <f t="shared" si="19"/>
        <v>12.1968</v>
      </c>
    </row>
    <row r="201" spans="1:14" x14ac:dyDescent="0.25">
      <c r="A201" s="35">
        <f t="shared" si="18"/>
        <v>198</v>
      </c>
      <c r="B201" s="36">
        <v>67</v>
      </c>
      <c r="C201" s="42" t="s">
        <v>376</v>
      </c>
      <c r="D201" s="36" t="s">
        <v>379</v>
      </c>
      <c r="E201" s="38">
        <v>7197</v>
      </c>
      <c r="F201" s="36">
        <v>7197</v>
      </c>
      <c r="G201" s="38">
        <v>10</v>
      </c>
      <c r="H201" s="36">
        <v>10</v>
      </c>
      <c r="I201" s="36">
        <v>100</v>
      </c>
      <c r="J201" s="60">
        <v>0.08</v>
      </c>
      <c r="K201" s="40">
        <f t="shared" si="17"/>
        <v>7.1970000000000001</v>
      </c>
      <c r="L201" s="40">
        <f t="shared" si="15"/>
        <v>2.1591</v>
      </c>
      <c r="M201" s="40">
        <f t="shared" si="16"/>
        <v>5.7576000000000001</v>
      </c>
      <c r="N201" s="40">
        <f t="shared" si="19"/>
        <v>15.1137</v>
      </c>
    </row>
    <row r="202" spans="1:14" x14ac:dyDescent="0.25">
      <c r="A202" s="35">
        <f t="shared" si="18"/>
        <v>199</v>
      </c>
      <c r="B202" s="36">
        <v>68</v>
      </c>
      <c r="C202" s="42" t="s">
        <v>380</v>
      </c>
      <c r="D202" s="36" t="s">
        <v>381</v>
      </c>
      <c r="E202" s="38">
        <v>5772</v>
      </c>
      <c r="F202" s="36">
        <v>5772</v>
      </c>
      <c r="G202" s="38">
        <v>10</v>
      </c>
      <c r="H202" s="36">
        <v>10</v>
      </c>
      <c r="I202" s="36">
        <v>100</v>
      </c>
      <c r="J202" s="60">
        <v>0.02</v>
      </c>
      <c r="K202" s="40">
        <f t="shared" si="17"/>
        <v>5.7720000000000002</v>
      </c>
      <c r="L202" s="40">
        <f t="shared" si="15"/>
        <v>1.7315999999999998</v>
      </c>
      <c r="M202" s="40">
        <f t="shared" si="16"/>
        <v>1.1543999999999999</v>
      </c>
      <c r="N202" s="40">
        <f t="shared" si="19"/>
        <v>8.6580000000000013</v>
      </c>
    </row>
    <row r="203" spans="1:14" x14ac:dyDescent="0.25">
      <c r="A203" s="35">
        <f t="shared" si="18"/>
        <v>200</v>
      </c>
      <c r="B203" s="36">
        <v>69</v>
      </c>
      <c r="C203" s="42" t="s">
        <v>382</v>
      </c>
      <c r="D203" s="36" t="s">
        <v>381</v>
      </c>
      <c r="E203" s="38">
        <v>9315</v>
      </c>
      <c r="F203" s="36">
        <v>9315</v>
      </c>
      <c r="G203" s="38">
        <v>10</v>
      </c>
      <c r="H203" s="36">
        <v>10</v>
      </c>
      <c r="I203" s="36">
        <v>100</v>
      </c>
      <c r="J203" s="60">
        <v>0.02</v>
      </c>
      <c r="K203" s="40">
        <f t="shared" si="17"/>
        <v>9.3149999999999995</v>
      </c>
      <c r="L203" s="40">
        <f t="shared" si="15"/>
        <v>2.7945000000000002</v>
      </c>
      <c r="M203" s="40">
        <f t="shared" si="16"/>
        <v>1.8630000000000002</v>
      </c>
      <c r="N203" s="40">
        <f t="shared" si="19"/>
        <v>13.9725</v>
      </c>
    </row>
    <row r="204" spans="1:14" x14ac:dyDescent="0.25">
      <c r="A204" s="35">
        <f t="shared" si="18"/>
        <v>201</v>
      </c>
      <c r="B204" s="36">
        <v>70</v>
      </c>
      <c r="C204" s="42" t="s">
        <v>383</v>
      </c>
      <c r="D204" s="36" t="s">
        <v>378</v>
      </c>
      <c r="E204" s="38">
        <v>5443</v>
      </c>
      <c r="F204" s="36">
        <v>5443</v>
      </c>
      <c r="G204" s="38">
        <v>10</v>
      </c>
      <c r="H204" s="36">
        <v>10</v>
      </c>
      <c r="I204" s="36">
        <v>100</v>
      </c>
      <c r="J204" s="60">
        <v>0.03</v>
      </c>
      <c r="K204" s="40">
        <f t="shared" si="17"/>
        <v>5.4429999999999996</v>
      </c>
      <c r="L204" s="40">
        <f t="shared" si="15"/>
        <v>1.6329</v>
      </c>
      <c r="M204" s="40">
        <f t="shared" si="16"/>
        <v>1.6329</v>
      </c>
      <c r="N204" s="40">
        <f t="shared" si="19"/>
        <v>8.7088000000000001</v>
      </c>
    </row>
    <row r="205" spans="1:14" x14ac:dyDescent="0.25">
      <c r="A205" s="35">
        <f t="shared" si="18"/>
        <v>202</v>
      </c>
      <c r="B205" s="36">
        <v>71</v>
      </c>
      <c r="C205" s="42" t="s">
        <v>565</v>
      </c>
      <c r="D205" s="36" t="s">
        <v>384</v>
      </c>
      <c r="E205" s="38">
        <v>112222</v>
      </c>
      <c r="F205" s="36">
        <v>112222</v>
      </c>
      <c r="G205" s="38">
        <v>10</v>
      </c>
      <c r="H205" s="36">
        <v>10</v>
      </c>
      <c r="I205" s="36">
        <v>100</v>
      </c>
      <c r="J205" s="60">
        <v>1.7000000000000001E-2</v>
      </c>
      <c r="K205" s="40">
        <f t="shared" si="17"/>
        <v>112.22199999999999</v>
      </c>
      <c r="L205" s="40">
        <f t="shared" si="15"/>
        <v>33.666600000000003</v>
      </c>
      <c r="M205" s="40">
        <f t="shared" si="16"/>
        <v>19.077740000000002</v>
      </c>
      <c r="N205" s="40">
        <f t="shared" si="19"/>
        <v>164.96634</v>
      </c>
    </row>
    <row r="206" spans="1:14" x14ac:dyDescent="0.25">
      <c r="A206" s="35">
        <f t="shared" si="18"/>
        <v>203</v>
      </c>
      <c r="B206" s="36">
        <v>71</v>
      </c>
      <c r="C206" s="42" t="s">
        <v>565</v>
      </c>
      <c r="D206" s="36" t="s">
        <v>385</v>
      </c>
      <c r="E206" s="38">
        <v>125520</v>
      </c>
      <c r="F206" s="36">
        <v>125520</v>
      </c>
      <c r="G206" s="38">
        <v>10</v>
      </c>
      <c r="H206" s="36">
        <v>10</v>
      </c>
      <c r="I206" s="36">
        <v>100</v>
      </c>
      <c r="J206" s="60">
        <v>1.7000000000000001E-2</v>
      </c>
      <c r="K206" s="40">
        <f t="shared" si="17"/>
        <v>125.52</v>
      </c>
      <c r="L206" s="40">
        <f t="shared" si="15"/>
        <v>37.655999999999999</v>
      </c>
      <c r="M206" s="40">
        <f t="shared" si="16"/>
        <v>21.3384</v>
      </c>
      <c r="N206" s="40">
        <f t="shared" si="19"/>
        <v>184.51439999999999</v>
      </c>
    </row>
    <row r="207" spans="1:14" x14ac:dyDescent="0.25">
      <c r="A207" s="35">
        <f t="shared" si="18"/>
        <v>204</v>
      </c>
      <c r="B207" s="36">
        <v>71</v>
      </c>
      <c r="C207" s="42" t="s">
        <v>565</v>
      </c>
      <c r="D207" s="36" t="s">
        <v>386</v>
      </c>
      <c r="E207" s="38">
        <v>149630</v>
      </c>
      <c r="F207" s="36">
        <v>149630</v>
      </c>
      <c r="G207" s="38">
        <v>10</v>
      </c>
      <c r="H207" s="36">
        <v>10</v>
      </c>
      <c r="I207" s="36">
        <v>100</v>
      </c>
      <c r="J207" s="60">
        <v>1.7000000000000001E-2</v>
      </c>
      <c r="K207" s="40">
        <f t="shared" si="17"/>
        <v>149.63</v>
      </c>
      <c r="L207" s="40">
        <f t="shared" si="15"/>
        <v>44.888999999999996</v>
      </c>
      <c r="M207" s="40">
        <f t="shared" si="16"/>
        <v>25.437100000000001</v>
      </c>
      <c r="N207" s="40">
        <f t="shared" si="19"/>
        <v>219.95609999999999</v>
      </c>
    </row>
    <row r="208" spans="1:14" x14ac:dyDescent="0.25">
      <c r="A208" s="35">
        <f t="shared" si="18"/>
        <v>205</v>
      </c>
      <c r="B208" s="36">
        <v>71</v>
      </c>
      <c r="C208" s="42" t="s">
        <v>565</v>
      </c>
      <c r="D208" s="36" t="s">
        <v>387</v>
      </c>
      <c r="E208" s="38">
        <v>170087</v>
      </c>
      <c r="F208" s="36">
        <v>170087</v>
      </c>
      <c r="G208" s="38">
        <v>10</v>
      </c>
      <c r="H208" s="36">
        <v>10</v>
      </c>
      <c r="I208" s="36">
        <v>100</v>
      </c>
      <c r="J208" s="60">
        <v>1.7000000000000001E-2</v>
      </c>
      <c r="K208" s="40">
        <f t="shared" si="17"/>
        <v>170.08699999999999</v>
      </c>
      <c r="L208" s="40">
        <f t="shared" si="15"/>
        <v>51.026099999999992</v>
      </c>
      <c r="M208" s="40">
        <f t="shared" si="16"/>
        <v>28.914790000000004</v>
      </c>
      <c r="N208" s="40">
        <f t="shared" si="19"/>
        <v>250.02788999999999</v>
      </c>
    </row>
    <row r="209" spans="1:14" x14ac:dyDescent="0.25">
      <c r="A209" s="35">
        <f t="shared" si="18"/>
        <v>206</v>
      </c>
      <c r="B209" s="36">
        <v>72</v>
      </c>
      <c r="C209" s="42" t="s">
        <v>566</v>
      </c>
      <c r="D209" s="36" t="s">
        <v>388</v>
      </c>
      <c r="E209" s="38">
        <v>121200</v>
      </c>
      <c r="F209" s="36">
        <v>121200</v>
      </c>
      <c r="G209" s="38">
        <v>10</v>
      </c>
      <c r="H209" s="36">
        <v>10</v>
      </c>
      <c r="I209" s="36">
        <v>100</v>
      </c>
      <c r="J209" s="60">
        <v>1.7000000000000001E-2</v>
      </c>
      <c r="K209" s="40">
        <f t="shared" si="17"/>
        <v>121.2</v>
      </c>
      <c r="L209" s="40">
        <f t="shared" si="15"/>
        <v>36.36</v>
      </c>
      <c r="M209" s="40">
        <f t="shared" si="16"/>
        <v>20.603999999999999</v>
      </c>
      <c r="N209" s="40">
        <f t="shared" si="19"/>
        <v>178.16399999999999</v>
      </c>
    </row>
    <row r="210" spans="1:14" x14ac:dyDescent="0.25">
      <c r="A210" s="35">
        <f t="shared" si="18"/>
        <v>207</v>
      </c>
      <c r="B210" s="36">
        <v>72</v>
      </c>
      <c r="C210" s="42" t="s">
        <v>566</v>
      </c>
      <c r="D210" s="36" t="s">
        <v>389</v>
      </c>
      <c r="E210" s="38">
        <v>135561</v>
      </c>
      <c r="F210" s="36">
        <v>135561</v>
      </c>
      <c r="G210" s="38">
        <v>10</v>
      </c>
      <c r="H210" s="36">
        <v>10</v>
      </c>
      <c r="I210" s="36">
        <v>100</v>
      </c>
      <c r="J210" s="60">
        <v>1.7000000000000001E-2</v>
      </c>
      <c r="K210" s="40">
        <f t="shared" si="17"/>
        <v>135.56100000000001</v>
      </c>
      <c r="L210" s="40">
        <f t="shared" si="15"/>
        <v>40.668299999999995</v>
      </c>
      <c r="M210" s="40">
        <f t="shared" si="16"/>
        <v>23.045370000000002</v>
      </c>
      <c r="N210" s="40">
        <f t="shared" si="19"/>
        <v>199.27466999999999</v>
      </c>
    </row>
    <row r="211" spans="1:14" x14ac:dyDescent="0.25">
      <c r="A211" s="35">
        <f t="shared" si="18"/>
        <v>208</v>
      </c>
      <c r="B211" s="36">
        <v>72</v>
      </c>
      <c r="C211" s="42" t="s">
        <v>566</v>
      </c>
      <c r="D211" s="36" t="s">
        <v>390</v>
      </c>
      <c r="E211" s="38">
        <v>161600</v>
      </c>
      <c r="F211" s="36">
        <v>161600</v>
      </c>
      <c r="G211" s="38">
        <v>10</v>
      </c>
      <c r="H211" s="36">
        <v>10</v>
      </c>
      <c r="I211" s="36">
        <v>100</v>
      </c>
      <c r="J211" s="60">
        <v>1.7000000000000001E-2</v>
      </c>
      <c r="K211" s="40">
        <f t="shared" si="17"/>
        <v>161.6</v>
      </c>
      <c r="L211" s="40">
        <f t="shared" si="15"/>
        <v>48.48</v>
      </c>
      <c r="M211" s="40">
        <f t="shared" si="16"/>
        <v>27.472000000000001</v>
      </c>
      <c r="N211" s="40">
        <f t="shared" si="19"/>
        <v>237.55199999999999</v>
      </c>
    </row>
    <row r="212" spans="1:14" x14ac:dyDescent="0.25">
      <c r="A212" s="35">
        <f t="shared" si="18"/>
        <v>209</v>
      </c>
      <c r="B212" s="36">
        <v>72</v>
      </c>
      <c r="C212" s="42" t="s">
        <v>566</v>
      </c>
      <c r="D212" s="36" t="s">
        <v>391</v>
      </c>
      <c r="E212" s="38">
        <v>183694</v>
      </c>
      <c r="F212" s="36">
        <v>183694</v>
      </c>
      <c r="G212" s="38">
        <v>10</v>
      </c>
      <c r="H212" s="36">
        <v>10</v>
      </c>
      <c r="I212" s="36">
        <v>100</v>
      </c>
      <c r="J212" s="60">
        <v>1.7000000000000001E-2</v>
      </c>
      <c r="K212" s="40">
        <f t="shared" si="17"/>
        <v>183.69399999999999</v>
      </c>
      <c r="L212" s="40">
        <f t="shared" si="15"/>
        <v>55.108199999999997</v>
      </c>
      <c r="M212" s="40">
        <f t="shared" si="16"/>
        <v>31.227980000000002</v>
      </c>
      <c r="N212" s="40">
        <f t="shared" si="19"/>
        <v>270.03017999999997</v>
      </c>
    </row>
    <row r="213" spans="1:14" x14ac:dyDescent="0.25">
      <c r="A213" s="35">
        <f t="shared" si="18"/>
        <v>210</v>
      </c>
      <c r="B213" s="36">
        <v>73</v>
      </c>
      <c r="C213" s="42" t="s">
        <v>567</v>
      </c>
      <c r="D213" s="36" t="s">
        <v>392</v>
      </c>
      <c r="E213" s="38">
        <v>39609</v>
      </c>
      <c r="F213" s="36">
        <v>39609</v>
      </c>
      <c r="G213" s="38">
        <v>10</v>
      </c>
      <c r="H213" s="36">
        <v>10</v>
      </c>
      <c r="I213" s="36">
        <v>100</v>
      </c>
      <c r="J213" s="60">
        <v>1.7000000000000001E-2</v>
      </c>
      <c r="K213" s="40">
        <f t="shared" si="17"/>
        <v>39.609000000000002</v>
      </c>
      <c r="L213" s="40">
        <f t="shared" si="15"/>
        <v>11.882699999999998</v>
      </c>
      <c r="M213" s="40">
        <f t="shared" si="16"/>
        <v>6.7335300000000009</v>
      </c>
      <c r="N213" s="40">
        <f t="shared" si="19"/>
        <v>58.225230000000003</v>
      </c>
    </row>
    <row r="214" spans="1:14" x14ac:dyDescent="0.25">
      <c r="A214" s="35">
        <f t="shared" si="18"/>
        <v>211</v>
      </c>
      <c r="B214" s="36">
        <v>73</v>
      </c>
      <c r="C214" s="42" t="s">
        <v>567</v>
      </c>
      <c r="D214" s="36" t="s">
        <v>393</v>
      </c>
      <c r="E214" s="38">
        <v>57494</v>
      </c>
      <c r="F214" s="36">
        <v>57494</v>
      </c>
      <c r="G214" s="38">
        <v>10</v>
      </c>
      <c r="H214" s="36">
        <v>10</v>
      </c>
      <c r="I214" s="36">
        <v>100</v>
      </c>
      <c r="J214" s="60">
        <v>1.7000000000000001E-2</v>
      </c>
      <c r="K214" s="40">
        <f t="shared" si="17"/>
        <v>57.494</v>
      </c>
      <c r="L214" s="40">
        <f t="shared" si="15"/>
        <v>17.248200000000001</v>
      </c>
      <c r="M214" s="40">
        <f t="shared" si="16"/>
        <v>9.7739799999999999</v>
      </c>
      <c r="N214" s="40">
        <f t="shared" si="19"/>
        <v>84.516179999999991</v>
      </c>
    </row>
    <row r="215" spans="1:14" x14ac:dyDescent="0.25">
      <c r="A215" s="35">
        <f t="shared" si="18"/>
        <v>212</v>
      </c>
      <c r="B215" s="36">
        <v>74</v>
      </c>
      <c r="C215" s="42" t="s">
        <v>568</v>
      </c>
      <c r="D215" s="36" t="s">
        <v>394</v>
      </c>
      <c r="E215" s="38">
        <v>99583</v>
      </c>
      <c r="F215" s="36">
        <v>99583</v>
      </c>
      <c r="G215" s="38">
        <v>10</v>
      </c>
      <c r="H215" s="36">
        <v>10</v>
      </c>
      <c r="I215" s="36">
        <v>100</v>
      </c>
      <c r="J215" s="60">
        <v>0.02</v>
      </c>
      <c r="K215" s="40">
        <f t="shared" si="17"/>
        <v>99.582999999999998</v>
      </c>
      <c r="L215" s="40">
        <f t="shared" si="15"/>
        <v>29.8749</v>
      </c>
      <c r="M215" s="40">
        <f t="shared" si="16"/>
        <v>19.916600000000003</v>
      </c>
      <c r="N215" s="40">
        <f t="shared" si="19"/>
        <v>149.37450000000001</v>
      </c>
    </row>
    <row r="216" spans="1:14" x14ac:dyDescent="0.25">
      <c r="A216" s="35">
        <f t="shared" si="18"/>
        <v>213</v>
      </c>
      <c r="B216" s="36">
        <v>74</v>
      </c>
      <c r="C216" s="42" t="s">
        <v>568</v>
      </c>
      <c r="D216" s="36" t="s">
        <v>395</v>
      </c>
      <c r="E216" s="38">
        <v>108606</v>
      </c>
      <c r="F216" s="36">
        <v>108606</v>
      </c>
      <c r="G216" s="38">
        <v>10</v>
      </c>
      <c r="H216" s="36">
        <v>10</v>
      </c>
      <c r="I216" s="36">
        <v>100</v>
      </c>
      <c r="J216" s="60">
        <v>0.02</v>
      </c>
      <c r="K216" s="40">
        <f t="shared" si="17"/>
        <v>108.60599999999999</v>
      </c>
      <c r="L216" s="40">
        <f t="shared" si="15"/>
        <v>32.581799999999994</v>
      </c>
      <c r="M216" s="40">
        <f t="shared" si="16"/>
        <v>21.7212</v>
      </c>
      <c r="N216" s="40">
        <f t="shared" si="19"/>
        <v>162.90899999999999</v>
      </c>
    </row>
    <row r="217" spans="1:14" x14ac:dyDescent="0.25">
      <c r="A217" s="35">
        <f t="shared" si="18"/>
        <v>214</v>
      </c>
      <c r="B217" s="36">
        <v>74</v>
      </c>
      <c r="C217" s="42" t="s">
        <v>568</v>
      </c>
      <c r="D217" s="36" t="s">
        <v>396</v>
      </c>
      <c r="E217" s="38">
        <v>122159</v>
      </c>
      <c r="F217" s="36">
        <v>122159</v>
      </c>
      <c r="G217" s="38">
        <v>10</v>
      </c>
      <c r="H217" s="36">
        <v>10</v>
      </c>
      <c r="I217" s="36">
        <v>100</v>
      </c>
      <c r="J217" s="60">
        <v>0.02</v>
      </c>
      <c r="K217" s="40">
        <f t="shared" si="17"/>
        <v>122.15900000000001</v>
      </c>
      <c r="L217" s="40">
        <f t="shared" si="15"/>
        <v>36.647699999999993</v>
      </c>
      <c r="M217" s="40">
        <f t="shared" si="16"/>
        <v>24.431799999999999</v>
      </c>
      <c r="N217" s="40">
        <f t="shared" si="19"/>
        <v>183.23850000000002</v>
      </c>
    </row>
    <row r="218" spans="1:14" x14ac:dyDescent="0.25">
      <c r="A218" s="35">
        <f t="shared" si="18"/>
        <v>215</v>
      </c>
      <c r="B218" s="36">
        <v>74</v>
      </c>
      <c r="C218" s="42" t="s">
        <v>568</v>
      </c>
      <c r="D218" s="36" t="s">
        <v>397</v>
      </c>
      <c r="E218" s="38">
        <v>135748</v>
      </c>
      <c r="F218" s="36">
        <v>135748</v>
      </c>
      <c r="G218" s="38">
        <v>10</v>
      </c>
      <c r="H218" s="36">
        <v>10</v>
      </c>
      <c r="I218" s="36">
        <v>100</v>
      </c>
      <c r="J218" s="60">
        <v>0.02</v>
      </c>
      <c r="K218" s="40">
        <f t="shared" si="17"/>
        <v>135.74799999999999</v>
      </c>
      <c r="L218" s="40">
        <f t="shared" si="15"/>
        <v>40.724399999999996</v>
      </c>
      <c r="M218" s="40">
        <f t="shared" si="16"/>
        <v>27.1496</v>
      </c>
      <c r="N218" s="40">
        <f t="shared" si="19"/>
        <v>203.62199999999999</v>
      </c>
    </row>
    <row r="219" spans="1:14" x14ac:dyDescent="0.25">
      <c r="A219" s="35">
        <f t="shared" si="18"/>
        <v>216</v>
      </c>
      <c r="B219" s="36">
        <v>74</v>
      </c>
      <c r="C219" s="42" t="s">
        <v>568</v>
      </c>
      <c r="D219" s="36" t="s">
        <v>398</v>
      </c>
      <c r="E219" s="38">
        <v>149301</v>
      </c>
      <c r="F219" s="36">
        <v>149301</v>
      </c>
      <c r="G219" s="38">
        <v>10</v>
      </c>
      <c r="H219" s="36">
        <v>10</v>
      </c>
      <c r="I219" s="36">
        <v>100</v>
      </c>
      <c r="J219" s="60">
        <v>0.02</v>
      </c>
      <c r="K219" s="40">
        <f t="shared" si="17"/>
        <v>149.30099999999999</v>
      </c>
      <c r="L219" s="40">
        <f t="shared" si="15"/>
        <v>44.790299999999995</v>
      </c>
      <c r="M219" s="40">
        <f t="shared" si="16"/>
        <v>29.860199999999999</v>
      </c>
      <c r="N219" s="40">
        <f t="shared" si="19"/>
        <v>223.95149999999998</v>
      </c>
    </row>
    <row r="220" spans="1:14" x14ac:dyDescent="0.25">
      <c r="A220" s="35">
        <f t="shared" si="18"/>
        <v>217</v>
      </c>
      <c r="B220" s="36">
        <v>74</v>
      </c>
      <c r="C220" s="42" t="s">
        <v>568</v>
      </c>
      <c r="D220" s="36" t="s">
        <v>399</v>
      </c>
      <c r="E220" s="38">
        <v>162854</v>
      </c>
      <c r="F220" s="36">
        <v>162854</v>
      </c>
      <c r="G220" s="38">
        <v>10</v>
      </c>
      <c r="H220" s="36">
        <v>10</v>
      </c>
      <c r="I220" s="36">
        <v>100</v>
      </c>
      <c r="J220" s="60">
        <v>0.02</v>
      </c>
      <c r="K220" s="40">
        <f t="shared" si="17"/>
        <v>162.85400000000001</v>
      </c>
      <c r="L220" s="40">
        <f t="shared" si="15"/>
        <v>48.856199999999994</v>
      </c>
      <c r="M220" s="40">
        <f t="shared" si="16"/>
        <v>32.570799999999998</v>
      </c>
      <c r="N220" s="40">
        <f t="shared" si="19"/>
        <v>244.28100000000001</v>
      </c>
    </row>
    <row r="221" spans="1:14" x14ac:dyDescent="0.25">
      <c r="A221" s="35">
        <f t="shared" si="18"/>
        <v>218</v>
      </c>
      <c r="B221" s="36">
        <v>75</v>
      </c>
      <c r="C221" s="42" t="s">
        <v>569</v>
      </c>
      <c r="D221" s="36" t="s">
        <v>400</v>
      </c>
      <c r="E221" s="38">
        <v>119499</v>
      </c>
      <c r="F221" s="36">
        <v>119499</v>
      </c>
      <c r="G221" s="38">
        <v>10</v>
      </c>
      <c r="H221" s="36">
        <v>10</v>
      </c>
      <c r="I221" s="36">
        <v>100</v>
      </c>
      <c r="J221" s="60">
        <v>0.02</v>
      </c>
      <c r="K221" s="40">
        <f t="shared" si="17"/>
        <v>119.499</v>
      </c>
      <c r="L221" s="40">
        <f t="shared" si="15"/>
        <v>35.849699999999999</v>
      </c>
      <c r="M221" s="40">
        <f t="shared" si="16"/>
        <v>23.899799999999999</v>
      </c>
      <c r="N221" s="40">
        <f t="shared" si="19"/>
        <v>179.24850000000001</v>
      </c>
    </row>
    <row r="222" spans="1:14" x14ac:dyDescent="0.25">
      <c r="A222" s="35">
        <f t="shared" si="18"/>
        <v>219</v>
      </c>
      <c r="B222" s="36">
        <v>75</v>
      </c>
      <c r="C222" s="42" t="s">
        <v>569</v>
      </c>
      <c r="D222" s="36" t="s">
        <v>401</v>
      </c>
      <c r="E222" s="38">
        <v>130327</v>
      </c>
      <c r="F222" s="36">
        <v>130327</v>
      </c>
      <c r="G222" s="38">
        <v>10</v>
      </c>
      <c r="H222" s="36">
        <v>10</v>
      </c>
      <c r="I222" s="36">
        <v>100</v>
      </c>
      <c r="J222" s="60">
        <v>0.02</v>
      </c>
      <c r="K222" s="40">
        <f t="shared" si="17"/>
        <v>130.327</v>
      </c>
      <c r="L222" s="40">
        <f t="shared" si="15"/>
        <v>39.098099999999995</v>
      </c>
      <c r="M222" s="40">
        <f t="shared" si="16"/>
        <v>26.0654</v>
      </c>
      <c r="N222" s="40">
        <f t="shared" si="19"/>
        <v>195.4905</v>
      </c>
    </row>
    <row r="223" spans="1:14" x14ac:dyDescent="0.25">
      <c r="A223" s="35">
        <f t="shared" si="18"/>
        <v>220</v>
      </c>
      <c r="B223" s="36">
        <v>75</v>
      </c>
      <c r="C223" s="42" t="s">
        <v>569</v>
      </c>
      <c r="D223" s="36" t="s">
        <v>402</v>
      </c>
      <c r="E223" s="38">
        <v>146590</v>
      </c>
      <c r="F223" s="36">
        <v>146590</v>
      </c>
      <c r="G223" s="38">
        <v>10</v>
      </c>
      <c r="H223" s="36">
        <v>10</v>
      </c>
      <c r="I223" s="36">
        <v>100</v>
      </c>
      <c r="J223" s="60">
        <v>0.02</v>
      </c>
      <c r="K223" s="40">
        <f t="shared" si="17"/>
        <v>146.59</v>
      </c>
      <c r="L223" s="40">
        <f t="shared" si="15"/>
        <v>43.977000000000004</v>
      </c>
      <c r="M223" s="40">
        <f t="shared" si="16"/>
        <v>29.318000000000001</v>
      </c>
      <c r="N223" s="40">
        <f t="shared" si="19"/>
        <v>219.88500000000002</v>
      </c>
    </row>
    <row r="224" spans="1:14" x14ac:dyDescent="0.25">
      <c r="A224" s="35">
        <f t="shared" si="18"/>
        <v>221</v>
      </c>
      <c r="B224" s="36">
        <v>75</v>
      </c>
      <c r="C224" s="42" t="s">
        <v>569</v>
      </c>
      <c r="D224" s="36" t="s">
        <v>403</v>
      </c>
      <c r="E224" s="38">
        <v>162898</v>
      </c>
      <c r="F224" s="36">
        <v>162898</v>
      </c>
      <c r="G224" s="38">
        <v>10</v>
      </c>
      <c r="H224" s="36">
        <v>10</v>
      </c>
      <c r="I224" s="36">
        <v>100</v>
      </c>
      <c r="J224" s="60">
        <v>0.02</v>
      </c>
      <c r="K224" s="40">
        <f t="shared" si="17"/>
        <v>162.898</v>
      </c>
      <c r="L224" s="40">
        <f t="shared" si="15"/>
        <v>48.869399999999999</v>
      </c>
      <c r="M224" s="40">
        <f t="shared" si="16"/>
        <v>32.579599999999999</v>
      </c>
      <c r="N224" s="40">
        <f t="shared" si="19"/>
        <v>244.34700000000001</v>
      </c>
    </row>
    <row r="225" spans="1:14" x14ac:dyDescent="0.25">
      <c r="A225" s="35">
        <f t="shared" si="18"/>
        <v>222</v>
      </c>
      <c r="B225" s="36">
        <v>75</v>
      </c>
      <c r="C225" s="42" t="s">
        <v>569</v>
      </c>
      <c r="D225" s="36" t="s">
        <v>404</v>
      </c>
      <c r="E225" s="38">
        <v>179161</v>
      </c>
      <c r="F225" s="36">
        <v>179161</v>
      </c>
      <c r="G225" s="38">
        <v>10</v>
      </c>
      <c r="H225" s="36">
        <v>10</v>
      </c>
      <c r="I225" s="36">
        <v>100</v>
      </c>
      <c r="J225" s="60">
        <v>0.02</v>
      </c>
      <c r="K225" s="40">
        <f t="shared" si="17"/>
        <v>179.161</v>
      </c>
      <c r="L225" s="40">
        <f t="shared" si="15"/>
        <v>53.748299999999993</v>
      </c>
      <c r="M225" s="40">
        <f t="shared" si="16"/>
        <v>35.8322</v>
      </c>
      <c r="N225" s="40">
        <f t="shared" si="19"/>
        <v>268.74149999999997</v>
      </c>
    </row>
    <row r="226" spans="1:14" x14ac:dyDescent="0.25">
      <c r="A226" s="35">
        <f t="shared" si="18"/>
        <v>223</v>
      </c>
      <c r="B226" s="36">
        <v>75</v>
      </c>
      <c r="C226" s="42" t="s">
        <v>569</v>
      </c>
      <c r="D226" s="36" t="s">
        <v>405</v>
      </c>
      <c r="E226" s="38">
        <v>195425</v>
      </c>
      <c r="F226" s="36">
        <v>195425</v>
      </c>
      <c r="G226" s="38">
        <v>10</v>
      </c>
      <c r="H226" s="36">
        <v>10</v>
      </c>
      <c r="I226" s="36">
        <v>100</v>
      </c>
      <c r="J226" s="60">
        <v>0.02</v>
      </c>
      <c r="K226" s="40">
        <f t="shared" si="17"/>
        <v>195.42500000000001</v>
      </c>
      <c r="L226" s="40">
        <f t="shared" si="15"/>
        <v>58.627499999999998</v>
      </c>
      <c r="M226" s="40">
        <f t="shared" si="16"/>
        <v>39.085000000000001</v>
      </c>
      <c r="N226" s="40">
        <f t="shared" si="19"/>
        <v>293.13749999999999</v>
      </c>
    </row>
    <row r="227" spans="1:14" x14ac:dyDescent="0.25">
      <c r="A227" s="35">
        <f t="shared" si="18"/>
        <v>224</v>
      </c>
      <c r="B227" s="36">
        <v>76</v>
      </c>
      <c r="C227" s="42" t="s">
        <v>570</v>
      </c>
      <c r="D227" s="36" t="s">
        <v>406</v>
      </c>
      <c r="E227" s="38">
        <v>114520</v>
      </c>
      <c r="F227" s="36">
        <v>114520</v>
      </c>
      <c r="G227" s="38">
        <v>10</v>
      </c>
      <c r="H227" s="36">
        <v>10</v>
      </c>
      <c r="I227" s="36">
        <v>100</v>
      </c>
      <c r="J227" s="60">
        <v>0.02</v>
      </c>
      <c r="K227" s="40">
        <f t="shared" si="17"/>
        <v>114.52</v>
      </c>
      <c r="L227" s="40">
        <f t="shared" si="15"/>
        <v>34.356000000000002</v>
      </c>
      <c r="M227" s="40">
        <f t="shared" si="16"/>
        <v>22.904</v>
      </c>
      <c r="N227" s="40">
        <f t="shared" si="19"/>
        <v>171.78</v>
      </c>
    </row>
    <row r="228" spans="1:14" x14ac:dyDescent="0.25">
      <c r="A228" s="35">
        <f t="shared" si="18"/>
        <v>225</v>
      </c>
      <c r="B228" s="36">
        <v>76</v>
      </c>
      <c r="C228" s="42" t="s">
        <v>570</v>
      </c>
      <c r="D228" s="36" t="s">
        <v>407</v>
      </c>
      <c r="E228" s="38">
        <v>124897</v>
      </c>
      <c r="F228" s="36">
        <v>124897</v>
      </c>
      <c r="G228" s="38">
        <v>10</v>
      </c>
      <c r="H228" s="36">
        <v>10</v>
      </c>
      <c r="I228" s="36">
        <v>100</v>
      </c>
      <c r="J228" s="60">
        <v>0.02</v>
      </c>
      <c r="K228" s="40">
        <f t="shared" si="17"/>
        <v>124.89700000000001</v>
      </c>
      <c r="L228" s="40">
        <f t="shared" si="15"/>
        <v>37.469099999999997</v>
      </c>
      <c r="M228" s="40">
        <f t="shared" si="16"/>
        <v>24.979400000000002</v>
      </c>
      <c r="N228" s="40">
        <f t="shared" si="19"/>
        <v>187.34550000000002</v>
      </c>
    </row>
    <row r="229" spans="1:14" x14ac:dyDescent="0.25">
      <c r="A229" s="35">
        <f t="shared" si="18"/>
        <v>226</v>
      </c>
      <c r="B229" s="36">
        <v>76</v>
      </c>
      <c r="C229" s="42" t="s">
        <v>570</v>
      </c>
      <c r="D229" s="36" t="s">
        <v>408</v>
      </c>
      <c r="E229" s="38">
        <v>140482</v>
      </c>
      <c r="F229" s="36">
        <v>140482</v>
      </c>
      <c r="G229" s="38">
        <v>10</v>
      </c>
      <c r="H229" s="36">
        <v>10</v>
      </c>
      <c r="I229" s="36">
        <v>100</v>
      </c>
      <c r="J229" s="60">
        <v>0.02</v>
      </c>
      <c r="K229" s="40">
        <f t="shared" si="17"/>
        <v>140.482</v>
      </c>
      <c r="L229" s="40">
        <f t="shared" si="15"/>
        <v>42.144599999999997</v>
      </c>
      <c r="M229" s="40">
        <f t="shared" si="16"/>
        <v>28.096399999999999</v>
      </c>
      <c r="N229" s="40">
        <f t="shared" si="19"/>
        <v>210.72299999999998</v>
      </c>
    </row>
    <row r="230" spans="1:14" x14ac:dyDescent="0.25">
      <c r="A230" s="35">
        <f t="shared" si="18"/>
        <v>227</v>
      </c>
      <c r="B230" s="36">
        <v>76</v>
      </c>
      <c r="C230" s="42" t="s">
        <v>570</v>
      </c>
      <c r="D230" s="36" t="s">
        <v>409</v>
      </c>
      <c r="E230" s="38">
        <v>156110</v>
      </c>
      <c r="F230" s="36">
        <v>156110</v>
      </c>
      <c r="G230" s="38">
        <v>10</v>
      </c>
      <c r="H230" s="36">
        <v>10</v>
      </c>
      <c r="I230" s="36">
        <v>100</v>
      </c>
      <c r="J230" s="60">
        <v>0.02</v>
      </c>
      <c r="K230" s="40">
        <f t="shared" si="17"/>
        <v>156.11000000000001</v>
      </c>
      <c r="L230" s="40">
        <f t="shared" si="15"/>
        <v>46.832999999999998</v>
      </c>
      <c r="M230" s="40">
        <f t="shared" si="16"/>
        <v>31.222000000000001</v>
      </c>
      <c r="N230" s="40">
        <f t="shared" si="19"/>
        <v>234.16500000000002</v>
      </c>
    </row>
    <row r="231" spans="1:14" x14ac:dyDescent="0.25">
      <c r="A231" s="35">
        <f t="shared" si="18"/>
        <v>228</v>
      </c>
      <c r="B231" s="36">
        <v>76</v>
      </c>
      <c r="C231" s="42" t="s">
        <v>570</v>
      </c>
      <c r="D231" s="36" t="s">
        <v>410</v>
      </c>
      <c r="E231" s="38">
        <v>171696</v>
      </c>
      <c r="F231" s="36">
        <v>171696</v>
      </c>
      <c r="G231" s="38">
        <v>10</v>
      </c>
      <c r="H231" s="36">
        <v>10</v>
      </c>
      <c r="I231" s="36">
        <v>100</v>
      </c>
      <c r="J231" s="60">
        <v>0.02</v>
      </c>
      <c r="K231" s="40">
        <f t="shared" si="17"/>
        <v>171.696</v>
      </c>
      <c r="L231" s="40">
        <f t="shared" si="15"/>
        <v>51.508800000000001</v>
      </c>
      <c r="M231" s="40">
        <f t="shared" si="16"/>
        <v>34.339199999999998</v>
      </c>
      <c r="N231" s="40">
        <f t="shared" si="19"/>
        <v>257.54399999999998</v>
      </c>
    </row>
    <row r="232" spans="1:14" x14ac:dyDescent="0.25">
      <c r="A232" s="35">
        <f t="shared" si="18"/>
        <v>229</v>
      </c>
      <c r="B232" s="36">
        <v>76</v>
      </c>
      <c r="C232" s="42" t="s">
        <v>570</v>
      </c>
      <c r="D232" s="36" t="s">
        <v>411</v>
      </c>
      <c r="E232" s="38">
        <v>187282</v>
      </c>
      <c r="F232" s="36">
        <v>187282</v>
      </c>
      <c r="G232" s="38">
        <v>10</v>
      </c>
      <c r="H232" s="36">
        <v>10</v>
      </c>
      <c r="I232" s="36">
        <v>100</v>
      </c>
      <c r="J232" s="60">
        <v>0.02</v>
      </c>
      <c r="K232" s="40">
        <f t="shared" si="17"/>
        <v>187.28200000000001</v>
      </c>
      <c r="L232" s="40">
        <f t="shared" si="15"/>
        <v>56.184599999999996</v>
      </c>
      <c r="M232" s="40">
        <f t="shared" si="16"/>
        <v>37.456400000000002</v>
      </c>
      <c r="N232" s="40">
        <f t="shared" si="19"/>
        <v>280.923</v>
      </c>
    </row>
    <row r="233" spans="1:14" x14ac:dyDescent="0.25">
      <c r="A233" s="35">
        <f t="shared" si="18"/>
        <v>230</v>
      </c>
      <c r="B233" s="36">
        <v>77</v>
      </c>
      <c r="C233" s="42" t="s">
        <v>412</v>
      </c>
      <c r="D233" s="36" t="s">
        <v>571</v>
      </c>
      <c r="E233" s="38">
        <v>111952</v>
      </c>
      <c r="F233" s="36">
        <v>111952</v>
      </c>
      <c r="G233" s="38">
        <v>10</v>
      </c>
      <c r="H233" s="36">
        <v>10</v>
      </c>
      <c r="I233" s="36">
        <v>100</v>
      </c>
      <c r="J233" s="60">
        <v>0.02</v>
      </c>
      <c r="K233" s="40">
        <f t="shared" si="17"/>
        <v>111.952</v>
      </c>
      <c r="L233" s="40">
        <f t="shared" si="15"/>
        <v>33.585599999999999</v>
      </c>
      <c r="M233" s="40">
        <f t="shared" si="16"/>
        <v>22.3904</v>
      </c>
      <c r="N233" s="40">
        <f t="shared" si="19"/>
        <v>167.928</v>
      </c>
    </row>
    <row r="234" spans="1:14" x14ac:dyDescent="0.25">
      <c r="A234" s="35">
        <f t="shared" si="18"/>
        <v>231</v>
      </c>
      <c r="B234" s="36">
        <v>77</v>
      </c>
      <c r="C234" s="42" t="s">
        <v>412</v>
      </c>
      <c r="D234" s="36" t="s">
        <v>572</v>
      </c>
      <c r="E234" s="38">
        <v>137396</v>
      </c>
      <c r="F234" s="36">
        <v>137396</v>
      </c>
      <c r="G234" s="38">
        <v>10</v>
      </c>
      <c r="H234" s="36">
        <v>10</v>
      </c>
      <c r="I234" s="36">
        <v>100</v>
      </c>
      <c r="J234" s="60">
        <v>0.02</v>
      </c>
      <c r="K234" s="40">
        <f t="shared" si="17"/>
        <v>137.39599999999999</v>
      </c>
      <c r="L234" s="40">
        <f t="shared" si="15"/>
        <v>41.218800000000002</v>
      </c>
      <c r="M234" s="40">
        <f t="shared" si="16"/>
        <v>27.479200000000002</v>
      </c>
      <c r="N234" s="40">
        <f t="shared" si="19"/>
        <v>206.09399999999999</v>
      </c>
    </row>
    <row r="235" spans="1:14" x14ac:dyDescent="0.25">
      <c r="A235" s="35">
        <f t="shared" si="18"/>
        <v>232</v>
      </c>
      <c r="B235" s="36">
        <v>78</v>
      </c>
      <c r="C235" s="42" t="s">
        <v>413</v>
      </c>
      <c r="D235" s="36" t="s">
        <v>414</v>
      </c>
      <c r="E235" s="38">
        <v>93519</v>
      </c>
      <c r="F235" s="36">
        <v>93519</v>
      </c>
      <c r="G235" s="38">
        <v>10</v>
      </c>
      <c r="H235" s="36">
        <v>10</v>
      </c>
      <c r="I235" s="36">
        <v>100</v>
      </c>
      <c r="J235" s="60">
        <v>0.02</v>
      </c>
      <c r="K235" s="40">
        <f t="shared" si="17"/>
        <v>93.519000000000005</v>
      </c>
      <c r="L235" s="40">
        <f t="shared" si="15"/>
        <v>28.055700000000002</v>
      </c>
      <c r="M235" s="40">
        <f t="shared" si="16"/>
        <v>18.703800000000001</v>
      </c>
      <c r="N235" s="40">
        <f t="shared" si="19"/>
        <v>140.27850000000001</v>
      </c>
    </row>
    <row r="236" spans="1:14" x14ac:dyDescent="0.25">
      <c r="A236" s="55"/>
      <c r="B236" s="36"/>
      <c r="C236" s="42"/>
      <c r="D236" s="36"/>
      <c r="E236" s="38"/>
      <c r="F236" s="36"/>
      <c r="G236" s="38"/>
      <c r="H236" s="36"/>
      <c r="I236" s="36"/>
      <c r="J236" s="60"/>
      <c r="K236" s="40"/>
      <c r="L236" s="40"/>
      <c r="M236" s="40"/>
      <c r="N236" s="40"/>
    </row>
    <row r="237" spans="1:14" x14ac:dyDescent="0.25">
      <c r="A237" s="55"/>
      <c r="B237" s="36"/>
      <c r="C237" s="42"/>
      <c r="D237" s="36"/>
      <c r="E237" s="36"/>
      <c r="F237" s="36"/>
      <c r="G237" s="38"/>
      <c r="H237" s="36"/>
      <c r="I237" s="36"/>
      <c r="J237" s="60"/>
      <c r="K237" s="40"/>
      <c r="L237" s="40"/>
      <c r="M237" s="40"/>
      <c r="N237" s="40"/>
    </row>
    <row r="238" spans="1:14" x14ac:dyDescent="0.25">
      <c r="A238" s="55"/>
      <c r="B238" s="36"/>
      <c r="C238" s="61" t="s">
        <v>573</v>
      </c>
      <c r="D238" s="36"/>
      <c r="E238" s="55"/>
      <c r="F238" s="55"/>
      <c r="G238" s="38"/>
      <c r="H238" s="36"/>
      <c r="I238" s="36"/>
      <c r="J238" s="60"/>
      <c r="K238" s="40"/>
      <c r="L238" s="40"/>
      <c r="M238" s="40"/>
      <c r="N238" s="40"/>
    </row>
    <row r="239" spans="1:14" x14ac:dyDescent="0.25">
      <c r="A239" s="55"/>
      <c r="B239" s="55"/>
      <c r="C239" s="55"/>
      <c r="D239" s="55"/>
      <c r="E239" s="55"/>
      <c r="F239" s="55"/>
      <c r="G239" s="62"/>
      <c r="H239" s="55"/>
      <c r="I239" s="55"/>
      <c r="J239" s="55"/>
      <c r="K239" s="55"/>
      <c r="L239" s="55"/>
      <c r="M239" s="55"/>
      <c r="N239" s="55"/>
    </row>
    <row r="240" spans="1:14" x14ac:dyDescent="0.25">
      <c r="A240" s="35">
        <v>232</v>
      </c>
      <c r="B240" s="36">
        <v>100</v>
      </c>
      <c r="C240" s="42" t="s">
        <v>574</v>
      </c>
      <c r="D240" s="36"/>
      <c r="E240" s="38">
        <v>5000</v>
      </c>
      <c r="F240" s="36">
        <v>5000</v>
      </c>
      <c r="G240" s="38">
        <v>10</v>
      </c>
      <c r="H240" s="36">
        <v>10</v>
      </c>
      <c r="I240" s="36">
        <v>100</v>
      </c>
      <c r="J240" s="60">
        <v>0.04</v>
      </c>
      <c r="K240" s="40">
        <f t="shared" ref="K240:K247" si="20">+F240/(H240*I240)</f>
        <v>5</v>
      </c>
      <c r="L240" s="40">
        <f t="shared" ref="L240:L247" si="21">+(F240/I240)*($L$1/100)</f>
        <v>1.5</v>
      </c>
      <c r="M240" s="40">
        <f t="shared" ref="M240:M247" si="22">+F240*J240/100</f>
        <v>2</v>
      </c>
      <c r="N240" s="40">
        <f t="shared" ref="N240:N247" si="23">+K240+L240+M240</f>
        <v>8.5</v>
      </c>
    </row>
    <row r="241" spans="1:14" x14ac:dyDescent="0.25">
      <c r="A241" s="35">
        <v>233</v>
      </c>
      <c r="B241" s="36">
        <v>100</v>
      </c>
      <c r="C241" s="37" t="s">
        <v>13</v>
      </c>
      <c r="D241" s="55"/>
      <c r="E241" s="38">
        <v>3000</v>
      </c>
      <c r="F241" s="36">
        <v>3000</v>
      </c>
      <c r="G241" s="38">
        <v>10</v>
      </c>
      <c r="H241" s="36">
        <v>10</v>
      </c>
      <c r="I241" s="36">
        <v>100</v>
      </c>
      <c r="J241" s="60">
        <v>0.04</v>
      </c>
      <c r="K241" s="40">
        <f t="shared" si="20"/>
        <v>3</v>
      </c>
      <c r="L241" s="40">
        <f t="shared" si="21"/>
        <v>0.89999999999999991</v>
      </c>
      <c r="M241" s="40">
        <f t="shared" si="22"/>
        <v>1.2</v>
      </c>
      <c r="N241" s="40">
        <f t="shared" si="23"/>
        <v>5.0999999999999996</v>
      </c>
    </row>
    <row r="242" spans="1:14" x14ac:dyDescent="0.25">
      <c r="A242" s="35">
        <v>234</v>
      </c>
      <c r="B242" s="36">
        <v>100</v>
      </c>
      <c r="C242" s="37" t="s">
        <v>575</v>
      </c>
      <c r="D242" s="55"/>
      <c r="E242" s="38">
        <v>2500</v>
      </c>
      <c r="F242" s="36">
        <v>2500</v>
      </c>
      <c r="G242" s="38">
        <v>10</v>
      </c>
      <c r="H242" s="36">
        <v>10</v>
      </c>
      <c r="I242" s="36">
        <v>100</v>
      </c>
      <c r="J242" s="60">
        <v>0.04</v>
      </c>
      <c r="K242" s="40">
        <f t="shared" si="20"/>
        <v>2.5</v>
      </c>
      <c r="L242" s="40">
        <f t="shared" si="21"/>
        <v>0.75</v>
      </c>
      <c r="M242" s="40">
        <f t="shared" si="22"/>
        <v>1</v>
      </c>
      <c r="N242" s="40">
        <f t="shared" si="23"/>
        <v>4.25</v>
      </c>
    </row>
    <row r="243" spans="1:14" x14ac:dyDescent="0.25">
      <c r="A243" s="35">
        <v>235</v>
      </c>
      <c r="B243" s="36">
        <v>100</v>
      </c>
      <c r="C243" s="37" t="s">
        <v>576</v>
      </c>
      <c r="D243" s="55"/>
      <c r="E243" s="38">
        <v>2500</v>
      </c>
      <c r="F243" s="36">
        <v>2500</v>
      </c>
      <c r="G243" s="38">
        <v>10</v>
      </c>
      <c r="H243" s="36">
        <v>10</v>
      </c>
      <c r="I243" s="36">
        <v>100</v>
      </c>
      <c r="J243" s="60">
        <v>0.04</v>
      </c>
      <c r="K243" s="40">
        <f t="shared" si="20"/>
        <v>2.5</v>
      </c>
      <c r="L243" s="40">
        <f t="shared" si="21"/>
        <v>0.75</v>
      </c>
      <c r="M243" s="40">
        <f t="shared" si="22"/>
        <v>1</v>
      </c>
      <c r="N243" s="40">
        <f t="shared" si="23"/>
        <v>4.25</v>
      </c>
    </row>
    <row r="244" spans="1:14" x14ac:dyDescent="0.25">
      <c r="A244" s="35">
        <v>236</v>
      </c>
      <c r="B244" s="36">
        <v>100</v>
      </c>
      <c r="C244" s="37" t="s">
        <v>670</v>
      </c>
      <c r="D244" s="55"/>
      <c r="E244" s="38">
        <v>2500</v>
      </c>
      <c r="F244" s="36">
        <v>2500</v>
      </c>
      <c r="G244" s="38">
        <v>10</v>
      </c>
      <c r="H244" s="36">
        <v>10</v>
      </c>
      <c r="I244" s="36">
        <v>100</v>
      </c>
      <c r="J244" s="60">
        <v>0.04</v>
      </c>
      <c r="K244" s="40">
        <f t="shared" si="20"/>
        <v>2.5</v>
      </c>
      <c r="L244" s="40">
        <f t="shared" si="21"/>
        <v>0.75</v>
      </c>
      <c r="M244" s="40">
        <f t="shared" si="22"/>
        <v>1</v>
      </c>
      <c r="N244" s="40">
        <f t="shared" si="23"/>
        <v>4.25</v>
      </c>
    </row>
    <row r="245" spans="1:14" x14ac:dyDescent="0.25">
      <c r="A245" s="35">
        <v>237</v>
      </c>
      <c r="B245" s="36">
        <v>100</v>
      </c>
      <c r="C245" s="37" t="s">
        <v>671</v>
      </c>
      <c r="E245" s="38">
        <v>500</v>
      </c>
      <c r="F245" s="36">
        <v>500</v>
      </c>
      <c r="G245" s="38">
        <v>10</v>
      </c>
      <c r="H245" s="36">
        <v>10</v>
      </c>
      <c r="I245" s="36">
        <v>100</v>
      </c>
      <c r="J245" s="60">
        <v>0.04</v>
      </c>
      <c r="K245" s="40">
        <f t="shared" si="20"/>
        <v>0.5</v>
      </c>
      <c r="L245" s="40">
        <f t="shared" si="21"/>
        <v>0.15</v>
      </c>
      <c r="M245" s="40">
        <f t="shared" si="22"/>
        <v>0.2</v>
      </c>
      <c r="N245" s="40">
        <f t="shared" si="23"/>
        <v>0.85000000000000009</v>
      </c>
    </row>
    <row r="246" spans="1:14" x14ac:dyDescent="0.25">
      <c r="A246" s="35">
        <v>238</v>
      </c>
      <c r="B246" s="36">
        <v>100</v>
      </c>
      <c r="C246" s="37" t="s">
        <v>607</v>
      </c>
      <c r="E246" s="38">
        <v>7500</v>
      </c>
      <c r="F246" s="36">
        <v>7500</v>
      </c>
      <c r="G246" s="38">
        <v>10</v>
      </c>
      <c r="H246" s="36">
        <v>10</v>
      </c>
      <c r="I246" s="36">
        <v>100</v>
      </c>
      <c r="J246" s="60">
        <v>0.04</v>
      </c>
      <c r="K246" s="40">
        <f t="shared" si="20"/>
        <v>7.5</v>
      </c>
      <c r="L246" s="40">
        <f t="shared" si="21"/>
        <v>2.25</v>
      </c>
      <c r="M246" s="40">
        <f t="shared" si="22"/>
        <v>3</v>
      </c>
      <c r="N246" s="40">
        <f t="shared" si="23"/>
        <v>12.75</v>
      </c>
    </row>
    <row r="247" spans="1:14" x14ac:dyDescent="0.25">
      <c r="A247" s="35">
        <v>239</v>
      </c>
      <c r="B247" s="36">
        <v>100</v>
      </c>
      <c r="C247" s="37" t="s">
        <v>672</v>
      </c>
      <c r="E247" s="38">
        <v>3500</v>
      </c>
      <c r="F247" s="36">
        <v>3500</v>
      </c>
      <c r="G247" s="38">
        <v>10</v>
      </c>
      <c r="H247" s="36">
        <v>10</v>
      </c>
      <c r="I247" s="36">
        <v>100</v>
      </c>
      <c r="J247" s="60">
        <v>0.04</v>
      </c>
      <c r="K247" s="40">
        <f t="shared" si="20"/>
        <v>3.5</v>
      </c>
      <c r="L247" s="40">
        <f t="shared" si="21"/>
        <v>1.05</v>
      </c>
      <c r="M247" s="40">
        <f t="shared" si="22"/>
        <v>1.4</v>
      </c>
      <c r="N247" s="40">
        <f t="shared" si="23"/>
        <v>5.9499999999999993</v>
      </c>
    </row>
  </sheetData>
  <mergeCells count="3">
    <mergeCell ref="A1:A3"/>
    <mergeCell ref="B1:B3"/>
    <mergeCell ref="C1:C3"/>
  </mergeCells>
  <hyperlinks>
    <hyperlink ref="D1" location="Indice!A1" display="Índice"/>
  </hyperlinks>
  <pageMargins left="0.7" right="0.7" top="0.75" bottom="0.75" header="0.3" footer="0.3"/>
  <pageSetup fitToWidth="0" fitToHeight="0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workbookViewId="0">
      <pane ySplit="2" topLeftCell="A3" activePane="bottomLeft" state="frozen"/>
      <selection pane="bottomLeft" activeCell="A2" sqref="A2"/>
    </sheetView>
  </sheetViews>
  <sheetFormatPr defaultRowHeight="13.2" x14ac:dyDescent="0.25"/>
  <cols>
    <col min="1" max="1" width="45.109375" customWidth="1"/>
    <col min="2" max="5" width="13.33203125" customWidth="1"/>
  </cols>
  <sheetData>
    <row r="1" spans="1:5" ht="25.2" customHeight="1" x14ac:dyDescent="0.25">
      <c r="A1" s="372" t="s">
        <v>677</v>
      </c>
      <c r="B1" s="372"/>
      <c r="C1" s="372"/>
      <c r="D1" s="372"/>
      <c r="E1" s="372"/>
    </row>
    <row r="2" spans="1:5" ht="25.2" customHeight="1" x14ac:dyDescent="0.25">
      <c r="A2" s="158" t="s">
        <v>869</v>
      </c>
      <c r="B2" s="173" t="s">
        <v>784</v>
      </c>
      <c r="C2" s="174" t="s">
        <v>785</v>
      </c>
      <c r="D2" s="173" t="s">
        <v>786</v>
      </c>
      <c r="E2" s="173" t="s">
        <v>787</v>
      </c>
    </row>
    <row r="3" spans="1:5" ht="15" customHeight="1" x14ac:dyDescent="0.25">
      <c r="A3" s="370" t="s">
        <v>678</v>
      </c>
      <c r="B3" s="370"/>
      <c r="C3" s="370"/>
      <c r="D3" s="370"/>
      <c r="E3" s="370"/>
    </row>
    <row r="4" spans="1:5" ht="15" customHeight="1" x14ac:dyDescent="0.25">
      <c r="A4" s="159" t="s">
        <v>679</v>
      </c>
      <c r="B4" s="160" t="s">
        <v>680</v>
      </c>
      <c r="C4" s="161">
        <v>5</v>
      </c>
      <c r="D4" s="162" t="s">
        <v>681</v>
      </c>
      <c r="E4" s="162">
        <v>70</v>
      </c>
    </row>
    <row r="5" spans="1:5" ht="15" customHeight="1" x14ac:dyDescent="0.25">
      <c r="A5" s="159" t="s">
        <v>682</v>
      </c>
      <c r="B5" s="163" t="s">
        <v>683</v>
      </c>
      <c r="C5" s="161">
        <v>5</v>
      </c>
      <c r="D5" s="162" t="s">
        <v>684</v>
      </c>
      <c r="E5" s="162">
        <v>75</v>
      </c>
    </row>
    <row r="6" spans="1:5" ht="15" customHeight="1" x14ac:dyDescent="0.25">
      <c r="A6" s="164" t="s">
        <v>685</v>
      </c>
      <c r="B6" s="163" t="s">
        <v>686</v>
      </c>
      <c r="C6" s="161">
        <v>4</v>
      </c>
      <c r="D6" s="162" t="s">
        <v>687</v>
      </c>
      <c r="E6" s="162">
        <v>75</v>
      </c>
    </row>
    <row r="7" spans="1:5" ht="15" customHeight="1" x14ac:dyDescent="0.25">
      <c r="A7" s="164" t="s">
        <v>688</v>
      </c>
      <c r="B7" s="162" t="s">
        <v>689</v>
      </c>
      <c r="C7" s="161">
        <v>2.5</v>
      </c>
      <c r="D7" s="162" t="s">
        <v>690</v>
      </c>
      <c r="E7" s="162">
        <v>75</v>
      </c>
    </row>
    <row r="8" spans="1:5" ht="15" customHeight="1" x14ac:dyDescent="0.25">
      <c r="A8" s="164" t="s">
        <v>691</v>
      </c>
      <c r="B8" s="162" t="s">
        <v>692</v>
      </c>
      <c r="C8" s="161">
        <v>1.5</v>
      </c>
      <c r="D8" s="162" t="s">
        <v>693</v>
      </c>
      <c r="E8" s="162">
        <v>75</v>
      </c>
    </row>
    <row r="9" spans="1:5" ht="15" customHeight="1" x14ac:dyDescent="0.25">
      <c r="A9" s="164" t="s">
        <v>694</v>
      </c>
      <c r="B9" s="163" t="s">
        <v>683</v>
      </c>
      <c r="C9" s="161">
        <v>8</v>
      </c>
      <c r="D9" s="162" t="s">
        <v>695</v>
      </c>
      <c r="E9" s="162">
        <v>75</v>
      </c>
    </row>
    <row r="10" spans="1:5" ht="15" customHeight="1" x14ac:dyDescent="0.25">
      <c r="A10" s="165" t="s">
        <v>696</v>
      </c>
      <c r="B10" s="166" t="s">
        <v>697</v>
      </c>
      <c r="C10" s="167">
        <v>2.5</v>
      </c>
      <c r="D10" s="168" t="s">
        <v>695</v>
      </c>
      <c r="E10" s="168">
        <v>75</v>
      </c>
    </row>
    <row r="11" spans="1:5" ht="15" customHeight="1" x14ac:dyDescent="0.25">
      <c r="A11" s="164" t="s">
        <v>698</v>
      </c>
      <c r="B11" s="163" t="s">
        <v>699</v>
      </c>
      <c r="C11" s="161">
        <v>8</v>
      </c>
      <c r="D11" s="162" t="s">
        <v>695</v>
      </c>
      <c r="E11" s="162">
        <v>85</v>
      </c>
    </row>
    <row r="12" spans="1:5" ht="15" customHeight="1" x14ac:dyDescent="0.25">
      <c r="A12" s="164" t="s">
        <v>700</v>
      </c>
      <c r="B12" s="163" t="s">
        <v>701</v>
      </c>
      <c r="C12" s="161">
        <v>3</v>
      </c>
      <c r="D12" s="162" t="s">
        <v>702</v>
      </c>
      <c r="E12" s="162">
        <v>80</v>
      </c>
    </row>
    <row r="13" spans="1:5" ht="15" customHeight="1" x14ac:dyDescent="0.25">
      <c r="A13" s="164" t="s">
        <v>703</v>
      </c>
      <c r="B13" s="160" t="s">
        <v>704</v>
      </c>
      <c r="C13" s="161">
        <v>6</v>
      </c>
      <c r="D13" s="162" t="s">
        <v>705</v>
      </c>
      <c r="E13" s="162">
        <v>65</v>
      </c>
    </row>
    <row r="14" spans="1:5" ht="15" customHeight="1" x14ac:dyDescent="0.25">
      <c r="A14" s="164" t="s">
        <v>706</v>
      </c>
      <c r="B14" s="163" t="s">
        <v>683</v>
      </c>
      <c r="C14" s="161">
        <v>6</v>
      </c>
      <c r="D14" s="162" t="s">
        <v>695</v>
      </c>
      <c r="E14" s="162">
        <v>75</v>
      </c>
    </row>
    <row r="15" spans="1:5" ht="15" customHeight="1" x14ac:dyDescent="0.25">
      <c r="A15" s="164" t="s">
        <v>707</v>
      </c>
      <c r="B15" s="163" t="s">
        <v>708</v>
      </c>
      <c r="C15" s="161">
        <v>6</v>
      </c>
      <c r="D15" s="162" t="s">
        <v>702</v>
      </c>
      <c r="E15" s="162">
        <v>80</v>
      </c>
    </row>
    <row r="16" spans="1:5" ht="15" customHeight="1" x14ac:dyDescent="0.25">
      <c r="A16" s="164" t="s">
        <v>709</v>
      </c>
      <c r="B16" s="163" t="s">
        <v>699</v>
      </c>
      <c r="C16" s="161">
        <v>4</v>
      </c>
      <c r="D16" s="162" t="s">
        <v>710</v>
      </c>
      <c r="E16" s="162">
        <v>70</v>
      </c>
    </row>
    <row r="17" spans="1:5" ht="15" customHeight="1" x14ac:dyDescent="0.25">
      <c r="A17" s="164" t="s">
        <v>711</v>
      </c>
      <c r="B17" s="163" t="s">
        <v>712</v>
      </c>
      <c r="C17" s="161">
        <v>7</v>
      </c>
      <c r="D17" s="162" t="s">
        <v>702</v>
      </c>
      <c r="E17" s="162">
        <v>80</v>
      </c>
    </row>
    <row r="18" spans="1:5" ht="15" customHeight="1" x14ac:dyDescent="0.25">
      <c r="A18" s="164" t="s">
        <v>713</v>
      </c>
      <c r="B18" s="163" t="s">
        <v>714</v>
      </c>
      <c r="C18" s="161">
        <v>2</v>
      </c>
      <c r="D18" s="162"/>
      <c r="E18" s="162"/>
    </row>
    <row r="19" spans="1:5" ht="15" customHeight="1" x14ac:dyDescent="0.25">
      <c r="A19" s="169"/>
      <c r="B19" s="169"/>
      <c r="C19" s="169"/>
      <c r="D19" s="169"/>
      <c r="E19" s="169"/>
    </row>
    <row r="20" spans="1:5" ht="15" customHeight="1" x14ac:dyDescent="0.25">
      <c r="A20" s="373" t="s">
        <v>715</v>
      </c>
      <c r="B20" s="373"/>
      <c r="C20" s="373"/>
      <c r="D20" s="373"/>
      <c r="E20" s="373"/>
    </row>
    <row r="21" spans="1:5" ht="15" customHeight="1" x14ac:dyDescent="0.25">
      <c r="A21" s="159" t="s">
        <v>716</v>
      </c>
      <c r="B21" s="163" t="s">
        <v>717</v>
      </c>
      <c r="C21" s="161">
        <v>6</v>
      </c>
      <c r="D21" s="162" t="s">
        <v>718</v>
      </c>
      <c r="E21" s="162">
        <v>40</v>
      </c>
    </row>
    <row r="22" spans="1:5" ht="15" customHeight="1" x14ac:dyDescent="0.25">
      <c r="A22" s="159" t="s">
        <v>719</v>
      </c>
      <c r="B22" s="163" t="s">
        <v>717</v>
      </c>
      <c r="C22" s="161">
        <v>6</v>
      </c>
      <c r="D22" s="162" t="s">
        <v>720</v>
      </c>
      <c r="E22" s="162">
        <v>50</v>
      </c>
    </row>
    <row r="23" spans="1:5" ht="15" customHeight="1" x14ac:dyDescent="0.25">
      <c r="A23" s="159" t="s">
        <v>721</v>
      </c>
      <c r="B23" s="163" t="s">
        <v>722</v>
      </c>
      <c r="C23" s="161">
        <v>7</v>
      </c>
      <c r="D23" s="162" t="s">
        <v>723</v>
      </c>
      <c r="E23" s="162">
        <v>45</v>
      </c>
    </row>
    <row r="24" spans="1:5" ht="15" customHeight="1" x14ac:dyDescent="0.25">
      <c r="A24" s="164" t="s">
        <v>724</v>
      </c>
      <c r="B24" s="163" t="s">
        <v>725</v>
      </c>
      <c r="C24" s="161">
        <v>3</v>
      </c>
      <c r="D24" s="162" t="s">
        <v>723</v>
      </c>
      <c r="E24" s="162">
        <v>45</v>
      </c>
    </row>
    <row r="25" spans="1:5" ht="15" customHeight="1" x14ac:dyDescent="0.25">
      <c r="A25" s="164" t="s">
        <v>726</v>
      </c>
      <c r="B25" s="163" t="s">
        <v>727</v>
      </c>
      <c r="C25" s="161">
        <v>4</v>
      </c>
      <c r="D25" s="162" t="s">
        <v>723</v>
      </c>
      <c r="E25" s="162">
        <v>45</v>
      </c>
    </row>
    <row r="26" spans="1:5" ht="15" customHeight="1" x14ac:dyDescent="0.25">
      <c r="A26" s="159" t="s">
        <v>728</v>
      </c>
      <c r="B26" s="162" t="s">
        <v>729</v>
      </c>
      <c r="C26" s="161">
        <v>1.5</v>
      </c>
      <c r="D26" s="162" t="s">
        <v>730</v>
      </c>
      <c r="E26" s="162">
        <v>55</v>
      </c>
    </row>
    <row r="27" spans="1:5" ht="15" customHeight="1" x14ac:dyDescent="0.25">
      <c r="A27" s="159" t="s">
        <v>731</v>
      </c>
      <c r="B27" s="163" t="s">
        <v>686</v>
      </c>
      <c r="C27" s="161">
        <v>4</v>
      </c>
      <c r="D27" s="162" t="s">
        <v>730</v>
      </c>
      <c r="E27" s="162">
        <v>55</v>
      </c>
    </row>
    <row r="28" spans="1:5" ht="15" customHeight="1" x14ac:dyDescent="0.25">
      <c r="A28" s="165" t="s">
        <v>732</v>
      </c>
      <c r="B28" s="172" t="s">
        <v>683</v>
      </c>
      <c r="C28" s="167">
        <v>5</v>
      </c>
      <c r="D28" s="168" t="s">
        <v>733</v>
      </c>
      <c r="E28" s="168">
        <v>40</v>
      </c>
    </row>
    <row r="29" spans="1:5" ht="15" customHeight="1" x14ac:dyDescent="0.25">
      <c r="A29" s="164" t="s">
        <v>734</v>
      </c>
      <c r="B29" s="163" t="s">
        <v>683</v>
      </c>
      <c r="C29" s="161">
        <v>5</v>
      </c>
      <c r="D29" s="162" t="s">
        <v>733</v>
      </c>
      <c r="E29" s="162">
        <v>40</v>
      </c>
    </row>
    <row r="30" spans="1:5" ht="15" customHeight="1" x14ac:dyDescent="0.25">
      <c r="A30" s="159" t="s">
        <v>735</v>
      </c>
      <c r="B30" s="163" t="s">
        <v>736</v>
      </c>
      <c r="C30" s="161">
        <v>5</v>
      </c>
      <c r="D30" s="162" t="s">
        <v>737</v>
      </c>
      <c r="E30" s="162">
        <v>65</v>
      </c>
    </row>
    <row r="31" spans="1:5" ht="15" customHeight="1" x14ac:dyDescent="0.25">
      <c r="A31" s="159" t="s">
        <v>738</v>
      </c>
      <c r="B31" s="163" t="s">
        <v>739</v>
      </c>
      <c r="C31" s="161">
        <v>8</v>
      </c>
      <c r="D31" s="162" t="s">
        <v>740</v>
      </c>
      <c r="E31" s="162">
        <v>60</v>
      </c>
    </row>
    <row r="32" spans="1:5" ht="15" customHeight="1" x14ac:dyDescent="0.25">
      <c r="A32" s="164" t="s">
        <v>741</v>
      </c>
      <c r="B32" s="163" t="s">
        <v>739</v>
      </c>
      <c r="C32" s="161">
        <v>3</v>
      </c>
      <c r="D32" s="162" t="s">
        <v>740</v>
      </c>
      <c r="E32" s="162">
        <v>60</v>
      </c>
    </row>
    <row r="33" spans="1:5" ht="15" customHeight="1" x14ac:dyDescent="0.25">
      <c r="A33" s="169"/>
      <c r="B33" s="169"/>
      <c r="C33" s="169"/>
      <c r="D33" s="169"/>
      <c r="E33" s="169"/>
    </row>
    <row r="34" spans="1:5" ht="15" customHeight="1" x14ac:dyDescent="0.25">
      <c r="A34" s="370" t="s">
        <v>742</v>
      </c>
      <c r="B34" s="370"/>
      <c r="C34" s="370"/>
      <c r="D34" s="371"/>
      <c r="E34" s="371"/>
    </row>
    <row r="35" spans="1:5" ht="15" customHeight="1" x14ac:dyDescent="0.25">
      <c r="A35" s="164" t="s">
        <v>743</v>
      </c>
      <c r="B35" s="162" t="s">
        <v>689</v>
      </c>
      <c r="C35" s="161">
        <v>3</v>
      </c>
      <c r="D35" s="162" t="s">
        <v>705</v>
      </c>
      <c r="E35" s="162">
        <v>65</v>
      </c>
    </row>
    <row r="36" spans="1:5" ht="15" customHeight="1" x14ac:dyDescent="0.25">
      <c r="A36" s="164" t="s">
        <v>744</v>
      </c>
      <c r="B36" s="162" t="s">
        <v>745</v>
      </c>
      <c r="C36" s="161">
        <v>2</v>
      </c>
      <c r="D36" s="162" t="s">
        <v>746</v>
      </c>
      <c r="E36" s="162">
        <v>65</v>
      </c>
    </row>
    <row r="37" spans="1:5" ht="15" customHeight="1" x14ac:dyDescent="0.25">
      <c r="A37" s="164" t="s">
        <v>747</v>
      </c>
      <c r="B37" s="162" t="s">
        <v>748</v>
      </c>
      <c r="C37" s="161">
        <v>4</v>
      </c>
      <c r="D37" s="162" t="s">
        <v>749</v>
      </c>
      <c r="E37" s="162">
        <v>45</v>
      </c>
    </row>
    <row r="38" spans="1:5" ht="15" customHeight="1" x14ac:dyDescent="0.25">
      <c r="A38" s="164" t="s">
        <v>750</v>
      </c>
      <c r="B38" s="170" t="s">
        <v>686</v>
      </c>
      <c r="C38" s="161">
        <v>4</v>
      </c>
      <c r="D38" s="162" t="s">
        <v>751</v>
      </c>
      <c r="E38" s="162">
        <v>45</v>
      </c>
    </row>
    <row r="39" spans="1:5" ht="15" customHeight="1" x14ac:dyDescent="0.25">
      <c r="A39" s="164" t="s">
        <v>752</v>
      </c>
      <c r="B39" s="170" t="s">
        <v>753</v>
      </c>
      <c r="C39" s="161">
        <v>5</v>
      </c>
      <c r="D39" s="162" t="s">
        <v>740</v>
      </c>
      <c r="E39" s="162">
        <v>60</v>
      </c>
    </row>
    <row r="40" spans="1:5" ht="15" customHeight="1" x14ac:dyDescent="0.25">
      <c r="A40" s="164" t="s">
        <v>754</v>
      </c>
      <c r="B40" s="170" t="s">
        <v>755</v>
      </c>
      <c r="C40" s="161">
        <v>3</v>
      </c>
      <c r="D40" s="162" t="s">
        <v>740</v>
      </c>
      <c r="E40" s="162">
        <v>60</v>
      </c>
    </row>
    <row r="41" spans="1:5" ht="15" customHeight="1" x14ac:dyDescent="0.25">
      <c r="A41" s="164" t="s">
        <v>756</v>
      </c>
      <c r="B41" s="170" t="s">
        <v>725</v>
      </c>
      <c r="C41" s="161">
        <v>3</v>
      </c>
      <c r="D41" s="162" t="s">
        <v>757</v>
      </c>
      <c r="E41" s="162">
        <v>55</v>
      </c>
    </row>
    <row r="42" spans="1:5" ht="15" customHeight="1" x14ac:dyDescent="0.25">
      <c r="A42" s="164" t="s">
        <v>758</v>
      </c>
      <c r="B42" s="170" t="s">
        <v>759</v>
      </c>
      <c r="C42" s="161">
        <v>2</v>
      </c>
      <c r="D42" s="162" t="s">
        <v>720</v>
      </c>
      <c r="E42" s="162">
        <v>50</v>
      </c>
    </row>
    <row r="43" spans="1:5" ht="15" customHeight="1" x14ac:dyDescent="0.25">
      <c r="A43" s="164" t="s">
        <v>760</v>
      </c>
      <c r="B43" s="170" t="s">
        <v>761</v>
      </c>
      <c r="C43" s="161">
        <v>4</v>
      </c>
      <c r="D43" s="162" t="s">
        <v>720</v>
      </c>
      <c r="E43" s="162">
        <v>50</v>
      </c>
    </row>
    <row r="44" spans="1:5" ht="15" customHeight="1" x14ac:dyDescent="0.25">
      <c r="A44" s="159" t="s">
        <v>762</v>
      </c>
      <c r="B44" s="170" t="s">
        <v>763</v>
      </c>
      <c r="C44" s="161">
        <v>3</v>
      </c>
      <c r="D44" s="162" t="s">
        <v>749</v>
      </c>
      <c r="E44" s="162">
        <v>45</v>
      </c>
    </row>
    <row r="45" spans="1:5" ht="15" customHeight="1" x14ac:dyDescent="0.25">
      <c r="A45" s="159" t="s">
        <v>764</v>
      </c>
      <c r="B45" s="170" t="s">
        <v>763</v>
      </c>
      <c r="C45" s="161">
        <v>3</v>
      </c>
      <c r="D45" s="162" t="s">
        <v>765</v>
      </c>
      <c r="E45" s="162">
        <v>55</v>
      </c>
    </row>
    <row r="46" spans="1:5" ht="15" customHeight="1" x14ac:dyDescent="0.25">
      <c r="A46" s="164" t="s">
        <v>766</v>
      </c>
      <c r="B46" s="170" t="s">
        <v>767</v>
      </c>
      <c r="C46" s="161">
        <v>6</v>
      </c>
      <c r="D46" s="162" t="s">
        <v>702</v>
      </c>
      <c r="E46" s="162">
        <v>80</v>
      </c>
    </row>
    <row r="47" spans="1:5" ht="15" customHeight="1" x14ac:dyDescent="0.25">
      <c r="A47" s="164" t="s">
        <v>768</v>
      </c>
      <c r="B47" s="170" t="s">
        <v>767</v>
      </c>
      <c r="C47" s="161">
        <v>6</v>
      </c>
      <c r="D47" s="162" t="s">
        <v>769</v>
      </c>
      <c r="E47" s="162">
        <v>65</v>
      </c>
    </row>
    <row r="48" spans="1:5" ht="15" customHeight="1" x14ac:dyDescent="0.25">
      <c r="A48" s="169"/>
      <c r="B48" s="169"/>
      <c r="C48" s="169"/>
      <c r="D48" s="169"/>
      <c r="E48" s="169"/>
    </row>
    <row r="49" spans="1:5" ht="15" customHeight="1" x14ac:dyDescent="0.25">
      <c r="A49" s="370" t="s">
        <v>770</v>
      </c>
      <c r="B49" s="370"/>
      <c r="C49" s="370"/>
      <c r="D49" s="371"/>
      <c r="E49" s="371"/>
    </row>
    <row r="50" spans="1:5" ht="15" customHeight="1" x14ac:dyDescent="0.25">
      <c r="A50" s="164" t="s">
        <v>771</v>
      </c>
      <c r="B50" s="170" t="s">
        <v>772</v>
      </c>
      <c r="C50" s="161">
        <v>10</v>
      </c>
      <c r="D50" s="162"/>
      <c r="E50" s="162"/>
    </row>
    <row r="51" spans="1:5" ht="15" customHeight="1" x14ac:dyDescent="0.25">
      <c r="A51" s="164" t="s">
        <v>773</v>
      </c>
      <c r="B51" s="171" t="s">
        <v>774</v>
      </c>
      <c r="C51" s="161">
        <v>15</v>
      </c>
      <c r="D51" s="162"/>
      <c r="E51" s="162"/>
    </row>
    <row r="52" spans="1:5" ht="15" customHeight="1" x14ac:dyDescent="0.25">
      <c r="A52" s="169"/>
      <c r="B52" s="169"/>
      <c r="C52" s="169"/>
      <c r="D52" s="169"/>
      <c r="E52" s="169"/>
    </row>
    <row r="53" spans="1:5" ht="43.95" customHeight="1" x14ac:dyDescent="0.25">
      <c r="A53" s="374" t="s">
        <v>775</v>
      </c>
      <c r="B53" s="374"/>
      <c r="C53" s="374"/>
      <c r="D53" s="374"/>
      <c r="E53" s="374"/>
    </row>
    <row r="54" spans="1:5" ht="15" customHeight="1" x14ac:dyDescent="0.25">
      <c r="A54" s="169"/>
      <c r="B54" s="169"/>
      <c r="C54" s="169"/>
      <c r="D54" s="169"/>
      <c r="E54" s="169"/>
    </row>
    <row r="55" spans="1:5" ht="15" customHeight="1" x14ac:dyDescent="0.25">
      <c r="A55" s="370" t="s">
        <v>776</v>
      </c>
      <c r="B55" s="370"/>
      <c r="C55" s="370"/>
      <c r="D55" s="371"/>
      <c r="E55" s="371"/>
    </row>
    <row r="56" spans="1:5" ht="15" customHeight="1" x14ac:dyDescent="0.25">
      <c r="A56" s="164" t="s">
        <v>777</v>
      </c>
      <c r="B56" s="170" t="s">
        <v>701</v>
      </c>
      <c r="C56" s="161">
        <v>3</v>
      </c>
      <c r="D56" s="170" t="s">
        <v>710</v>
      </c>
      <c r="E56" s="162">
        <v>80</v>
      </c>
    </row>
    <row r="57" spans="1:5" ht="15" customHeight="1" x14ac:dyDescent="0.25">
      <c r="A57" s="164" t="s">
        <v>778</v>
      </c>
      <c r="B57" s="170" t="s">
        <v>701</v>
      </c>
      <c r="C57" s="161">
        <v>3</v>
      </c>
      <c r="D57" s="170" t="s">
        <v>710</v>
      </c>
      <c r="E57" s="162">
        <v>80</v>
      </c>
    </row>
    <row r="58" spans="1:5" ht="15" customHeight="1" x14ac:dyDescent="0.25">
      <c r="A58" s="164" t="s">
        <v>779</v>
      </c>
      <c r="B58" s="170" t="s">
        <v>701</v>
      </c>
      <c r="C58" s="161">
        <v>3</v>
      </c>
      <c r="D58" s="170" t="s">
        <v>710</v>
      </c>
      <c r="E58" s="162">
        <v>80</v>
      </c>
    </row>
    <row r="59" spans="1:5" ht="15" customHeight="1" x14ac:dyDescent="0.25">
      <c r="A59" s="164" t="s">
        <v>780</v>
      </c>
      <c r="B59" s="170" t="s">
        <v>701</v>
      </c>
      <c r="C59" s="161">
        <v>3</v>
      </c>
      <c r="D59" s="170" t="s">
        <v>710</v>
      </c>
      <c r="E59" s="162">
        <v>80</v>
      </c>
    </row>
    <row r="60" spans="1:5" s="154" customFormat="1" ht="15" customHeight="1" x14ac:dyDescent="0.25">
      <c r="A60" s="164" t="s">
        <v>783</v>
      </c>
      <c r="B60" s="170" t="s">
        <v>788</v>
      </c>
      <c r="C60" s="161">
        <v>2</v>
      </c>
      <c r="D60" s="170" t="s">
        <v>710</v>
      </c>
      <c r="E60" s="162">
        <v>70</v>
      </c>
    </row>
    <row r="61" spans="1:5" ht="15" customHeight="1" x14ac:dyDescent="0.25">
      <c r="A61" s="164" t="s">
        <v>781</v>
      </c>
      <c r="B61" s="175" t="s">
        <v>782</v>
      </c>
      <c r="C61" s="176">
        <v>5</v>
      </c>
      <c r="D61" s="175" t="s">
        <v>710</v>
      </c>
      <c r="E61" s="177">
        <v>80</v>
      </c>
    </row>
    <row r="62" spans="1:5" ht="15" customHeight="1" x14ac:dyDescent="0.25">
      <c r="A62" s="164"/>
      <c r="B62" s="55"/>
      <c r="C62" s="55"/>
      <c r="D62" s="55"/>
      <c r="E62" s="55"/>
    </row>
    <row r="63" spans="1:5" ht="15" customHeight="1" x14ac:dyDescent="0.25">
      <c r="A63" s="164"/>
      <c r="B63" s="55"/>
      <c r="C63" s="55"/>
      <c r="D63" s="55"/>
      <c r="E63" s="55"/>
    </row>
    <row r="64" spans="1:5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</sheetData>
  <mergeCells count="7">
    <mergeCell ref="A55:E55"/>
    <mergeCell ref="A1:E1"/>
    <mergeCell ref="A3:E3"/>
    <mergeCell ref="A20:E20"/>
    <mergeCell ref="A34:E34"/>
    <mergeCell ref="A49:E49"/>
    <mergeCell ref="A53:E53"/>
  </mergeCells>
  <printOptions horizontalCentered="1" gridLines="1"/>
  <pageMargins left="7.874015748031496E-2" right="7.874015748031496E-2" top="0.19685039370078741" bottom="0.19685039370078741" header="0.31496062992125984" footer="0.31496062992125984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1"/>
  <sheetViews>
    <sheetView workbookViewId="0">
      <pane ySplit="3" topLeftCell="A4" activePane="bottomLeft" state="frozen"/>
      <selection pane="bottomLeft"/>
    </sheetView>
  </sheetViews>
  <sheetFormatPr defaultRowHeight="13.2" x14ac:dyDescent="0.25"/>
  <cols>
    <col min="1" max="1" width="26.44140625" customWidth="1"/>
    <col min="2" max="2" width="9" bestFit="1" customWidth="1"/>
    <col min="3" max="3" width="10" customWidth="1"/>
    <col min="4" max="4" width="9.88671875" customWidth="1"/>
    <col min="5" max="5" width="10.33203125" customWidth="1"/>
    <col min="6" max="6" width="13.109375" customWidth="1"/>
    <col min="7" max="8" width="8.44140625" customWidth="1"/>
    <col min="9" max="9" width="9.6640625" customWidth="1"/>
    <col min="10" max="10" width="5.109375" customWidth="1"/>
    <col min="11" max="11" width="5.5546875" customWidth="1"/>
  </cols>
  <sheetData>
    <row r="1" spans="1:11" ht="13.8" x14ac:dyDescent="0.25">
      <c r="A1" s="226" t="s">
        <v>869</v>
      </c>
      <c r="B1" s="232"/>
      <c r="C1" s="232"/>
      <c r="D1" s="232"/>
      <c r="E1" s="232"/>
      <c r="F1" s="233"/>
      <c r="G1" s="232"/>
      <c r="H1" s="232"/>
      <c r="I1" s="232"/>
      <c r="J1" s="234"/>
      <c r="K1" s="234"/>
    </row>
    <row r="2" spans="1:11" ht="13.8" x14ac:dyDescent="0.3">
      <c r="A2" s="375" t="s">
        <v>876</v>
      </c>
      <c r="B2" s="377" t="s">
        <v>877</v>
      </c>
      <c r="C2" s="378"/>
      <c r="D2" s="378"/>
      <c r="E2" s="379"/>
      <c r="F2" s="235" t="s">
        <v>878</v>
      </c>
      <c r="G2" s="236" t="s">
        <v>879</v>
      </c>
      <c r="H2" s="237" t="s">
        <v>880</v>
      </c>
      <c r="I2" s="238" t="s">
        <v>881</v>
      </c>
      <c r="J2" s="380" t="s">
        <v>882</v>
      </c>
      <c r="K2" s="381"/>
    </row>
    <row r="3" spans="1:11" x14ac:dyDescent="0.25">
      <c r="A3" s="376"/>
      <c r="B3" s="239" t="s">
        <v>883</v>
      </c>
      <c r="C3" s="240" t="s">
        <v>884</v>
      </c>
      <c r="D3" s="240" t="s">
        <v>885</v>
      </c>
      <c r="E3" s="240" t="s">
        <v>886</v>
      </c>
      <c r="F3" s="241" t="s">
        <v>887</v>
      </c>
      <c r="G3" s="242" t="s">
        <v>151</v>
      </c>
      <c r="H3" s="240" t="s">
        <v>888</v>
      </c>
      <c r="I3" s="243" t="s">
        <v>212</v>
      </c>
      <c r="J3" s="243" t="s">
        <v>889</v>
      </c>
      <c r="K3" s="243" t="s">
        <v>890</v>
      </c>
    </row>
    <row r="4" spans="1:11" x14ac:dyDescent="0.25">
      <c r="A4" s="244" t="s">
        <v>891</v>
      </c>
      <c r="B4" s="245"/>
      <c r="C4" s="246"/>
      <c r="D4" s="246"/>
      <c r="E4" s="246"/>
      <c r="F4" s="245"/>
      <c r="G4" s="247"/>
      <c r="H4" s="246"/>
      <c r="I4" s="248"/>
      <c r="J4" s="249"/>
      <c r="K4" s="249"/>
    </row>
    <row r="5" spans="1:11" x14ac:dyDescent="0.25">
      <c r="A5" s="250" t="s">
        <v>892</v>
      </c>
      <c r="B5" s="251">
        <v>1</v>
      </c>
      <c r="C5" s="252">
        <f t="shared" ref="C5:C11" si="0">1*12*2.54/100</f>
        <v>0.30480000000000002</v>
      </c>
      <c r="D5" s="252">
        <f t="shared" ref="D5:D11" si="1">+B5*C5*1.1</f>
        <v>0.33528000000000002</v>
      </c>
      <c r="E5" s="252">
        <v>0.25</v>
      </c>
      <c r="F5" s="251">
        <v>750</v>
      </c>
      <c r="G5" s="253">
        <v>5</v>
      </c>
      <c r="H5" s="252">
        <f>(+D5*E5)/10*F5</f>
        <v>6.2865000000000002</v>
      </c>
      <c r="I5" s="254">
        <v>50</v>
      </c>
      <c r="J5" s="255">
        <f t="shared" ref="J5:J11" si="2">1.36*K5</f>
        <v>23.748999999999999</v>
      </c>
      <c r="K5" s="255">
        <f t="shared" ref="K5:K11" si="3">(G5/3.6*H5)/(I5/100)</f>
        <v>17.462499999999999</v>
      </c>
    </row>
    <row r="6" spans="1:11" x14ac:dyDescent="0.25">
      <c r="A6" s="256"/>
      <c r="B6" s="251">
        <v>2</v>
      </c>
      <c r="C6" s="252">
        <f t="shared" si="0"/>
        <v>0.30480000000000002</v>
      </c>
      <c r="D6" s="252">
        <f t="shared" si="1"/>
        <v>0.67056000000000004</v>
      </c>
      <c r="E6" s="252">
        <v>0.25</v>
      </c>
      <c r="F6" s="251">
        <v>750</v>
      </c>
      <c r="G6" s="253">
        <v>5</v>
      </c>
      <c r="H6" s="252">
        <f>(+D6*E6)/10*F6</f>
        <v>12.573</v>
      </c>
      <c r="I6" s="254">
        <v>50</v>
      </c>
      <c r="J6" s="255">
        <f t="shared" si="2"/>
        <v>47.497999999999998</v>
      </c>
      <c r="K6" s="255">
        <f t="shared" si="3"/>
        <v>34.924999999999997</v>
      </c>
    </row>
    <row r="7" spans="1:11" x14ac:dyDescent="0.25">
      <c r="A7" s="256"/>
      <c r="B7" s="251">
        <v>3</v>
      </c>
      <c r="C7" s="252">
        <f t="shared" si="0"/>
        <v>0.30480000000000002</v>
      </c>
      <c r="D7" s="252">
        <f t="shared" si="1"/>
        <v>1.0058400000000003</v>
      </c>
      <c r="E7" s="252">
        <v>0.25</v>
      </c>
      <c r="F7" s="251">
        <v>750</v>
      </c>
      <c r="G7" s="253">
        <v>5</v>
      </c>
      <c r="H7" s="252">
        <f>(+D7*E7)/10*F7</f>
        <v>18.859500000000008</v>
      </c>
      <c r="I7" s="254">
        <v>50</v>
      </c>
      <c r="J7" s="255">
        <f t="shared" si="2"/>
        <v>71.247000000000028</v>
      </c>
      <c r="K7" s="255">
        <f t="shared" si="3"/>
        <v>52.387500000000017</v>
      </c>
    </row>
    <row r="8" spans="1:11" x14ac:dyDescent="0.25">
      <c r="A8" s="256"/>
      <c r="B8" s="251">
        <v>4</v>
      </c>
      <c r="C8" s="252">
        <f t="shared" si="0"/>
        <v>0.30480000000000002</v>
      </c>
      <c r="D8" s="252">
        <f t="shared" si="1"/>
        <v>1.3411200000000001</v>
      </c>
      <c r="E8" s="252">
        <v>0.25</v>
      </c>
      <c r="F8" s="251">
        <v>750</v>
      </c>
      <c r="G8" s="253">
        <v>5</v>
      </c>
      <c r="H8" s="252">
        <f>(+D8*E8)/10*F8</f>
        <v>25.146000000000001</v>
      </c>
      <c r="I8" s="254">
        <v>50</v>
      </c>
      <c r="J8" s="255">
        <f t="shared" si="2"/>
        <v>94.995999999999995</v>
      </c>
      <c r="K8" s="255">
        <f t="shared" si="3"/>
        <v>69.849999999999994</v>
      </c>
    </row>
    <row r="9" spans="1:11" x14ac:dyDescent="0.25">
      <c r="A9" s="256"/>
      <c r="B9" s="251"/>
      <c r="C9" s="252"/>
      <c r="D9" s="252"/>
      <c r="E9" s="252"/>
      <c r="F9" s="251"/>
      <c r="G9" s="253"/>
      <c r="H9" s="252"/>
      <c r="I9" s="254"/>
      <c r="J9" s="255"/>
      <c r="K9" s="255"/>
    </row>
    <row r="10" spans="1:11" x14ac:dyDescent="0.25">
      <c r="A10" s="250" t="s">
        <v>893</v>
      </c>
      <c r="B10" s="251">
        <v>2</v>
      </c>
      <c r="C10" s="252">
        <f t="shared" si="0"/>
        <v>0.30480000000000002</v>
      </c>
      <c r="D10" s="252">
        <f t="shared" si="1"/>
        <v>0.67056000000000004</v>
      </c>
      <c r="E10" s="252">
        <v>0.25</v>
      </c>
      <c r="F10" s="251">
        <v>750</v>
      </c>
      <c r="G10" s="253">
        <v>5</v>
      </c>
      <c r="H10" s="252">
        <f>(+D10*E10)/10*F10</f>
        <v>12.573</v>
      </c>
      <c r="I10" s="254">
        <v>50</v>
      </c>
      <c r="J10" s="255">
        <f t="shared" si="2"/>
        <v>47.497999999999998</v>
      </c>
      <c r="K10" s="255">
        <f t="shared" si="3"/>
        <v>34.924999999999997</v>
      </c>
    </row>
    <row r="11" spans="1:11" x14ac:dyDescent="0.25">
      <c r="A11" s="256"/>
      <c r="B11" s="251">
        <v>3</v>
      </c>
      <c r="C11" s="252">
        <f t="shared" si="0"/>
        <v>0.30480000000000002</v>
      </c>
      <c r="D11" s="252">
        <f t="shared" si="1"/>
        <v>1.0058400000000003</v>
      </c>
      <c r="E11" s="252">
        <v>0.25</v>
      </c>
      <c r="F11" s="251">
        <v>750</v>
      </c>
      <c r="G11" s="253">
        <v>5</v>
      </c>
      <c r="H11" s="252">
        <f>(+D11*E11)/10*F11</f>
        <v>18.859500000000008</v>
      </c>
      <c r="I11" s="254">
        <v>50</v>
      </c>
      <c r="J11" s="255">
        <f t="shared" si="2"/>
        <v>71.247000000000028</v>
      </c>
      <c r="K11" s="255">
        <f t="shared" si="3"/>
        <v>52.387500000000017</v>
      </c>
    </row>
    <row r="12" spans="1:11" x14ac:dyDescent="0.25">
      <c r="A12" s="257" t="s">
        <v>894</v>
      </c>
      <c r="B12" s="251"/>
      <c r="C12" s="252"/>
      <c r="D12" s="252"/>
      <c r="E12" s="252"/>
      <c r="F12" s="251"/>
      <c r="G12" s="253"/>
      <c r="H12" s="252"/>
      <c r="I12" s="254"/>
      <c r="J12" s="255"/>
      <c r="K12" s="255"/>
    </row>
    <row r="13" spans="1:11" x14ac:dyDescent="0.25">
      <c r="A13" s="250" t="s">
        <v>895</v>
      </c>
      <c r="B13" s="251">
        <v>1</v>
      </c>
      <c r="C13" s="252">
        <v>0.5</v>
      </c>
      <c r="D13" s="252">
        <f>+B13*C13</f>
        <v>0.5</v>
      </c>
      <c r="E13" s="252">
        <v>0.5</v>
      </c>
      <c r="F13" s="251">
        <v>1000</v>
      </c>
      <c r="G13" s="253">
        <v>2</v>
      </c>
      <c r="H13" s="252">
        <f>(+D13*E13)/10*F13</f>
        <v>25</v>
      </c>
      <c r="I13" s="254">
        <v>50</v>
      </c>
      <c r="J13" s="255">
        <f>1.36*K13</f>
        <v>37.777777777777779</v>
      </c>
      <c r="K13" s="255">
        <f>(G13/3.6*H13)/(I13/100)</f>
        <v>27.777777777777779</v>
      </c>
    </row>
    <row r="14" spans="1:11" x14ac:dyDescent="0.25">
      <c r="A14" s="256"/>
      <c r="B14" s="251">
        <v>2</v>
      </c>
      <c r="C14" s="252">
        <v>0.5</v>
      </c>
      <c r="D14" s="252">
        <f>+B14*C14</f>
        <v>1</v>
      </c>
      <c r="E14" s="252">
        <v>0.5</v>
      </c>
      <c r="F14" s="251">
        <v>1000</v>
      </c>
      <c r="G14" s="253">
        <v>2</v>
      </c>
      <c r="H14" s="252">
        <f>(+D14*E14)/10*F14</f>
        <v>50</v>
      </c>
      <c r="I14" s="254">
        <v>50</v>
      </c>
      <c r="J14" s="255">
        <f>1.36*K14</f>
        <v>75.555555555555557</v>
      </c>
      <c r="K14" s="255">
        <f>(G14/3.6*H14)/(I14/100)</f>
        <v>55.555555555555557</v>
      </c>
    </row>
    <row r="15" spans="1:11" x14ac:dyDescent="0.25">
      <c r="A15" s="256"/>
      <c r="B15" s="251">
        <v>3</v>
      </c>
      <c r="C15" s="252">
        <v>0.5</v>
      </c>
      <c r="D15" s="252">
        <f>+B15*C15</f>
        <v>1.5</v>
      </c>
      <c r="E15" s="252">
        <v>0.5</v>
      </c>
      <c r="F15" s="251">
        <v>1000</v>
      </c>
      <c r="G15" s="253">
        <v>2</v>
      </c>
      <c r="H15" s="252">
        <f>(+D15*E15)/10*F15</f>
        <v>75</v>
      </c>
      <c r="I15" s="254">
        <v>50</v>
      </c>
      <c r="J15" s="255">
        <f>1.36*K15</f>
        <v>113.33333333333336</v>
      </c>
      <c r="K15" s="255">
        <f>(G15/3.6*H15)/(I15/100)</f>
        <v>83.333333333333343</v>
      </c>
    </row>
    <row r="16" spans="1:11" x14ac:dyDescent="0.25">
      <c r="A16" s="257" t="s">
        <v>896</v>
      </c>
      <c r="B16" s="251"/>
      <c r="C16" s="252"/>
      <c r="D16" s="252"/>
      <c r="E16" s="252"/>
      <c r="F16" s="251"/>
      <c r="G16" s="253"/>
      <c r="H16" s="252"/>
      <c r="I16" s="254"/>
      <c r="J16" s="255"/>
      <c r="K16" s="255"/>
    </row>
    <row r="17" spans="1:11" x14ac:dyDescent="0.25">
      <c r="A17" s="250" t="s">
        <v>9</v>
      </c>
      <c r="B17" s="251">
        <v>5</v>
      </c>
      <c r="C17" s="252">
        <v>0.25</v>
      </c>
      <c r="D17" s="252">
        <f>+B17*C17</f>
        <v>1.25</v>
      </c>
      <c r="E17" s="252">
        <v>0.2</v>
      </c>
      <c r="F17" s="251">
        <v>500</v>
      </c>
      <c r="G17" s="253">
        <v>4</v>
      </c>
      <c r="H17" s="252">
        <f>(+D17*E17)/10*F17</f>
        <v>12.5</v>
      </c>
      <c r="I17" s="254">
        <v>50</v>
      </c>
      <c r="J17" s="255">
        <f>1.36*K17</f>
        <v>37.777777777777779</v>
      </c>
      <c r="K17" s="255">
        <f>(G17/3.6*H17)/(I17/100)</f>
        <v>27.777777777777779</v>
      </c>
    </row>
    <row r="18" spans="1:11" x14ac:dyDescent="0.25">
      <c r="A18" s="256"/>
      <c r="B18" s="251">
        <v>7</v>
      </c>
      <c r="C18" s="252">
        <v>0.25</v>
      </c>
      <c r="D18" s="252">
        <f>+B18*C18</f>
        <v>1.75</v>
      </c>
      <c r="E18" s="252">
        <v>0.2</v>
      </c>
      <c r="F18" s="251">
        <v>500</v>
      </c>
      <c r="G18" s="253">
        <v>4</v>
      </c>
      <c r="H18" s="252">
        <f>(+D18*E18)/10*F18</f>
        <v>17.5</v>
      </c>
      <c r="I18" s="254">
        <v>50</v>
      </c>
      <c r="J18" s="255">
        <f>1.36*K18</f>
        <v>52.8888888888889</v>
      </c>
      <c r="K18" s="255">
        <f>(G18/3.6*H18)/(I18/100)</f>
        <v>38.888888888888893</v>
      </c>
    </row>
    <row r="19" spans="1:11" x14ac:dyDescent="0.25">
      <c r="A19" s="256"/>
      <c r="B19" s="251">
        <v>9</v>
      </c>
      <c r="C19" s="252">
        <v>0.25</v>
      </c>
      <c r="D19" s="252">
        <f>+B19*C19</f>
        <v>2.25</v>
      </c>
      <c r="E19" s="252">
        <v>0.2</v>
      </c>
      <c r="F19" s="251">
        <v>500</v>
      </c>
      <c r="G19" s="253">
        <v>4</v>
      </c>
      <c r="H19" s="252">
        <f>(+D19*E19)/10*F19</f>
        <v>22.5</v>
      </c>
      <c r="I19" s="254">
        <v>50</v>
      </c>
      <c r="J19" s="255">
        <f>1.36*K19</f>
        <v>68</v>
      </c>
      <c r="K19" s="255">
        <f>(G19/3.6*H19)/(I19/100)</f>
        <v>50</v>
      </c>
    </row>
    <row r="20" spans="1:11" x14ac:dyDescent="0.25">
      <c r="A20" s="256"/>
      <c r="B20" s="251"/>
      <c r="C20" s="252"/>
      <c r="D20" s="252"/>
      <c r="E20" s="252"/>
      <c r="F20" s="251"/>
      <c r="G20" s="253"/>
      <c r="H20" s="252"/>
      <c r="I20" s="254"/>
      <c r="J20" s="255"/>
      <c r="K20" s="255"/>
    </row>
    <row r="21" spans="1:11" x14ac:dyDescent="0.25">
      <c r="A21" s="250" t="s">
        <v>897</v>
      </c>
      <c r="B21" s="251">
        <v>18</v>
      </c>
      <c r="C21" s="252">
        <v>0.1</v>
      </c>
      <c r="D21" s="252">
        <f>+B21*C21</f>
        <v>1.8</v>
      </c>
      <c r="E21" s="252">
        <v>0.1</v>
      </c>
      <c r="F21" s="251">
        <v>250</v>
      </c>
      <c r="G21" s="253">
        <v>10</v>
      </c>
      <c r="H21" s="252">
        <f>(+D21*E21)/10*F21</f>
        <v>4.5000000000000009</v>
      </c>
      <c r="I21" s="254">
        <v>50</v>
      </c>
      <c r="J21" s="255">
        <f>1.36*K21</f>
        <v>34.000000000000007</v>
      </c>
      <c r="K21" s="255">
        <f>(G21/3.6*H21)/(I21/100)</f>
        <v>25.000000000000004</v>
      </c>
    </row>
    <row r="22" spans="1:11" x14ac:dyDescent="0.25">
      <c r="A22" s="256"/>
      <c r="B22" s="251">
        <v>27</v>
      </c>
      <c r="C22" s="252">
        <v>0.1</v>
      </c>
      <c r="D22" s="252">
        <f>+B22*C22</f>
        <v>2.7</v>
      </c>
      <c r="E22" s="252">
        <v>0.1</v>
      </c>
      <c r="F22" s="251">
        <v>250</v>
      </c>
      <c r="G22" s="253">
        <v>10</v>
      </c>
      <c r="H22" s="252">
        <f>(+D22*E22)/10*F22</f>
        <v>6.7500000000000009</v>
      </c>
      <c r="I22" s="254">
        <v>50</v>
      </c>
      <c r="J22" s="255">
        <f>1.36*K22</f>
        <v>51.000000000000014</v>
      </c>
      <c r="K22" s="255">
        <f>(G22/3.6*H22)/(I22/100)</f>
        <v>37.500000000000007</v>
      </c>
    </row>
    <row r="23" spans="1:11" x14ac:dyDescent="0.25">
      <c r="A23" s="258"/>
      <c r="B23" s="251">
        <v>45</v>
      </c>
      <c r="C23" s="252">
        <v>0.1</v>
      </c>
      <c r="D23" s="252">
        <f>+B23*C23</f>
        <v>4.5</v>
      </c>
      <c r="E23" s="252">
        <v>0.1</v>
      </c>
      <c r="F23" s="251">
        <v>250</v>
      </c>
      <c r="G23" s="253">
        <v>10</v>
      </c>
      <c r="H23" s="252">
        <f>(+D23*E23)/10*F23</f>
        <v>11.25</v>
      </c>
      <c r="I23" s="254">
        <v>50</v>
      </c>
      <c r="J23" s="255">
        <f>1.36*K23</f>
        <v>85</v>
      </c>
      <c r="K23" s="255">
        <f>(G23/3.6*H23)/(I23/100)</f>
        <v>62.5</v>
      </c>
    </row>
    <row r="24" spans="1:11" x14ac:dyDescent="0.25">
      <c r="A24" s="258"/>
      <c r="B24" s="251">
        <v>63</v>
      </c>
      <c r="C24" s="252">
        <v>0.1</v>
      </c>
      <c r="D24" s="252">
        <f>+B24*C24</f>
        <v>6.3000000000000007</v>
      </c>
      <c r="E24" s="252">
        <v>0.1</v>
      </c>
      <c r="F24" s="251">
        <v>250</v>
      </c>
      <c r="G24" s="253">
        <v>10</v>
      </c>
      <c r="H24" s="252">
        <f>(+D24*E24)/10*F24</f>
        <v>15.750000000000004</v>
      </c>
      <c r="I24" s="254">
        <v>50</v>
      </c>
      <c r="J24" s="255">
        <f>1.36*K24</f>
        <v>119.00000000000003</v>
      </c>
      <c r="K24" s="255">
        <f>(G24/3.6*H24)/(I24/100)</f>
        <v>87.500000000000014</v>
      </c>
    </row>
    <row r="25" spans="1:11" x14ac:dyDescent="0.25">
      <c r="A25" s="258"/>
      <c r="B25" s="251"/>
      <c r="C25" s="252"/>
      <c r="D25" s="252"/>
      <c r="E25" s="252"/>
      <c r="F25" s="251"/>
      <c r="G25" s="253"/>
      <c r="H25" s="252"/>
      <c r="I25" s="254"/>
      <c r="J25" s="255"/>
      <c r="K25" s="255"/>
    </row>
    <row r="26" spans="1:11" x14ac:dyDescent="0.25">
      <c r="A26" s="257" t="s">
        <v>898</v>
      </c>
      <c r="B26" s="251"/>
      <c r="C26" s="252"/>
      <c r="D26" s="252">
        <v>1.5</v>
      </c>
      <c r="E26" s="252"/>
      <c r="F26" s="251"/>
      <c r="G26" s="253">
        <v>6</v>
      </c>
      <c r="H26" s="252"/>
      <c r="I26" s="254"/>
      <c r="J26" s="255">
        <v>30</v>
      </c>
      <c r="K26" s="255">
        <f>+J26*0.736</f>
        <v>22.08</v>
      </c>
    </row>
    <row r="27" spans="1:11" x14ac:dyDescent="0.25">
      <c r="A27" s="250" t="s">
        <v>899</v>
      </c>
      <c r="B27" s="251"/>
      <c r="C27" s="252"/>
      <c r="D27" s="252">
        <v>2</v>
      </c>
      <c r="E27" s="252"/>
      <c r="F27" s="251"/>
      <c r="G27" s="253">
        <v>6</v>
      </c>
      <c r="H27" s="252"/>
      <c r="I27" s="254"/>
      <c r="J27" s="255">
        <v>35</v>
      </c>
      <c r="K27" s="255">
        <f>+J27*0.736</f>
        <v>25.759999999999998</v>
      </c>
    </row>
    <row r="28" spans="1:11" x14ac:dyDescent="0.25">
      <c r="A28" s="256"/>
      <c r="B28" s="251"/>
      <c r="C28" s="252"/>
      <c r="D28" s="252">
        <v>2.5</v>
      </c>
      <c r="E28" s="252"/>
      <c r="F28" s="251"/>
      <c r="G28" s="253">
        <v>6</v>
      </c>
      <c r="H28" s="252"/>
      <c r="I28" s="254"/>
      <c r="J28" s="255">
        <v>40</v>
      </c>
      <c r="K28" s="255">
        <f>+J28*0.736</f>
        <v>29.439999999999998</v>
      </c>
    </row>
    <row r="29" spans="1:11" x14ac:dyDescent="0.25">
      <c r="A29" s="256"/>
      <c r="B29" s="251"/>
      <c r="C29" s="252"/>
      <c r="D29" s="252">
        <v>3</v>
      </c>
      <c r="E29" s="252"/>
      <c r="F29" s="251"/>
      <c r="G29" s="253">
        <v>6</v>
      </c>
      <c r="H29" s="252"/>
      <c r="I29" s="254"/>
      <c r="J29" s="255">
        <v>45</v>
      </c>
      <c r="K29" s="255">
        <f>+J29*0.736</f>
        <v>33.119999999999997</v>
      </c>
    </row>
    <row r="30" spans="1:11" x14ac:dyDescent="0.25">
      <c r="A30" s="257" t="s">
        <v>900</v>
      </c>
      <c r="B30" s="251"/>
      <c r="C30" s="252"/>
      <c r="D30" s="252"/>
      <c r="E30" s="252"/>
      <c r="F30" s="251"/>
      <c r="G30" s="253"/>
      <c r="H30" s="252"/>
      <c r="I30" s="254"/>
      <c r="J30" s="255"/>
      <c r="K30" s="255"/>
    </row>
    <row r="31" spans="1:11" x14ac:dyDescent="0.25">
      <c r="A31" s="250" t="s">
        <v>901</v>
      </c>
      <c r="B31" s="251"/>
      <c r="C31" s="252"/>
      <c r="D31" s="252">
        <v>1.5</v>
      </c>
      <c r="E31" s="259">
        <v>0.1</v>
      </c>
      <c r="F31" s="251">
        <v>250</v>
      </c>
      <c r="G31" s="253">
        <v>5</v>
      </c>
      <c r="H31" s="252">
        <f>(+D31*E31)/10*F31</f>
        <v>3.7500000000000009</v>
      </c>
      <c r="I31" s="254">
        <v>50</v>
      </c>
      <c r="J31" s="255">
        <f>1.36*K31</f>
        <v>14.166666666666671</v>
      </c>
      <c r="K31" s="255">
        <f>(G31/3.6*H31)/(I31/100)</f>
        <v>10.41666666666667</v>
      </c>
    </row>
    <row r="32" spans="1:11" x14ac:dyDescent="0.25">
      <c r="A32" s="256"/>
      <c r="B32" s="251"/>
      <c r="C32" s="252"/>
      <c r="D32" s="252">
        <v>2.5</v>
      </c>
      <c r="E32" s="259">
        <v>0.1</v>
      </c>
      <c r="F32" s="251">
        <v>250</v>
      </c>
      <c r="G32" s="253">
        <v>5</v>
      </c>
      <c r="H32" s="252">
        <f>(+D32*E32)/10*F32</f>
        <v>6.25</v>
      </c>
      <c r="I32" s="254">
        <v>50</v>
      </c>
      <c r="J32" s="255">
        <f>1.36*K32</f>
        <v>23.611111111111111</v>
      </c>
      <c r="K32" s="255">
        <f>(G32/3.6*H32)/(I32/100)</f>
        <v>17.361111111111111</v>
      </c>
    </row>
    <row r="33" spans="1:11" x14ac:dyDescent="0.25">
      <c r="A33" s="256"/>
      <c r="B33" s="251"/>
      <c r="C33" s="252"/>
      <c r="D33" s="252">
        <v>3.5</v>
      </c>
      <c r="E33" s="259">
        <v>0.1</v>
      </c>
      <c r="F33" s="251">
        <v>250</v>
      </c>
      <c r="G33" s="253">
        <v>5</v>
      </c>
      <c r="H33" s="252">
        <f>(+D33*E33)/10*F33</f>
        <v>8.75</v>
      </c>
      <c r="I33" s="254">
        <v>50</v>
      </c>
      <c r="J33" s="255">
        <f>1.36*K33</f>
        <v>33.055555555555557</v>
      </c>
      <c r="K33" s="255">
        <f>(G33/3.6*H33)/(I33/100)</f>
        <v>24.305555555555554</v>
      </c>
    </row>
    <row r="34" spans="1:11" x14ac:dyDescent="0.25">
      <c r="A34" s="256"/>
      <c r="B34" s="251"/>
      <c r="C34" s="252"/>
      <c r="D34" s="252">
        <v>4.5</v>
      </c>
      <c r="E34" s="259">
        <v>0.1</v>
      </c>
      <c r="F34" s="251">
        <v>250</v>
      </c>
      <c r="G34" s="253">
        <v>5</v>
      </c>
      <c r="H34" s="252">
        <f>(+D34*E34)/10*F34</f>
        <v>11.25</v>
      </c>
      <c r="I34" s="254">
        <v>50</v>
      </c>
      <c r="J34" s="255">
        <f>1.36*K34</f>
        <v>42.5</v>
      </c>
      <c r="K34" s="255">
        <f>(G34/3.6*H34)/(I34/100)</f>
        <v>31.25</v>
      </c>
    </row>
    <row r="35" spans="1:11" x14ac:dyDescent="0.25">
      <c r="A35" s="256"/>
      <c r="B35" s="251"/>
      <c r="C35" s="252"/>
      <c r="D35" s="252">
        <v>6</v>
      </c>
      <c r="E35" s="259">
        <v>0.1</v>
      </c>
      <c r="F35" s="251">
        <v>250</v>
      </c>
      <c r="G35" s="253">
        <v>5</v>
      </c>
      <c r="H35" s="252">
        <f>(+D35*E35)/10*F35</f>
        <v>15.000000000000004</v>
      </c>
      <c r="I35" s="254">
        <v>50</v>
      </c>
      <c r="J35" s="255">
        <f>1.36*K35</f>
        <v>56.666666666666686</v>
      </c>
      <c r="K35" s="255">
        <f>(G35/3.6*H35)/(I35/100)</f>
        <v>41.666666666666679</v>
      </c>
    </row>
    <row r="36" spans="1:11" x14ac:dyDescent="0.25">
      <c r="A36" s="260"/>
      <c r="B36" s="251"/>
      <c r="C36" s="252"/>
      <c r="D36" s="252"/>
      <c r="E36" s="259"/>
      <c r="F36" s="251"/>
      <c r="G36" s="253"/>
      <c r="H36" s="252"/>
      <c r="I36" s="254"/>
      <c r="J36" s="255"/>
      <c r="K36" s="255"/>
    </row>
    <row r="37" spans="1:11" x14ac:dyDescent="0.25">
      <c r="A37" s="250" t="s">
        <v>902</v>
      </c>
      <c r="B37" s="251" t="s">
        <v>903</v>
      </c>
      <c r="C37" s="252"/>
      <c r="D37" s="252">
        <v>1.8</v>
      </c>
      <c r="E37" s="259">
        <v>0.15</v>
      </c>
      <c r="F37" s="251">
        <v>500</v>
      </c>
      <c r="G37" s="253">
        <v>5</v>
      </c>
      <c r="H37" s="252">
        <f>(+D37*E37)/10*F37</f>
        <v>13.500000000000002</v>
      </c>
      <c r="I37" s="254">
        <v>50</v>
      </c>
      <c r="J37" s="255">
        <f>1.36*K37</f>
        <v>51.000000000000014</v>
      </c>
      <c r="K37" s="255">
        <f>(G37/3.6*H37)/(I37/100)</f>
        <v>37.500000000000007</v>
      </c>
    </row>
    <row r="38" spans="1:11" x14ac:dyDescent="0.25">
      <c r="A38" s="256"/>
      <c r="B38" s="251" t="s">
        <v>904</v>
      </c>
      <c r="C38" s="252"/>
      <c r="D38" s="252">
        <v>2</v>
      </c>
      <c r="E38" s="259">
        <v>0.15</v>
      </c>
      <c r="F38" s="251">
        <v>500</v>
      </c>
      <c r="G38" s="253">
        <v>5</v>
      </c>
      <c r="H38" s="252">
        <f>(+D38*E38)/10*F38</f>
        <v>15</v>
      </c>
      <c r="I38" s="254">
        <v>50</v>
      </c>
      <c r="J38" s="255">
        <f>1.36*K38</f>
        <v>56.666666666666664</v>
      </c>
      <c r="K38" s="255">
        <f>(G38/3.6*H38)/(I38/100)</f>
        <v>41.666666666666664</v>
      </c>
    </row>
    <row r="39" spans="1:11" x14ac:dyDescent="0.25">
      <c r="A39" s="256"/>
      <c r="B39" s="251"/>
      <c r="C39" s="252"/>
      <c r="D39" s="252"/>
      <c r="E39" s="259"/>
      <c r="F39" s="251"/>
      <c r="G39" s="253"/>
      <c r="H39" s="252"/>
      <c r="I39" s="254"/>
      <c r="J39" s="255"/>
      <c r="K39" s="255"/>
    </row>
    <row r="40" spans="1:11" x14ac:dyDescent="0.25">
      <c r="A40" s="261" t="s">
        <v>905</v>
      </c>
      <c r="B40" s="250" t="s">
        <v>906</v>
      </c>
      <c r="C40" s="252"/>
      <c r="D40" s="252">
        <v>1.8</v>
      </c>
      <c r="E40" s="259">
        <v>0.15</v>
      </c>
      <c r="F40" s="251">
        <v>500</v>
      </c>
      <c r="G40" s="253">
        <v>5</v>
      </c>
      <c r="H40" s="252">
        <f>(+D40*E40)/10*F40</f>
        <v>13.500000000000002</v>
      </c>
      <c r="I40" s="254">
        <v>50</v>
      </c>
      <c r="J40" s="255">
        <f>1.36*K40</f>
        <v>51.000000000000014</v>
      </c>
      <c r="K40" s="255">
        <f>(G40/3.6*H40)/(I40/100)</f>
        <v>37.500000000000007</v>
      </c>
    </row>
    <row r="41" spans="1:11" x14ac:dyDescent="0.25">
      <c r="A41" s="256"/>
      <c r="B41" s="250" t="s">
        <v>907</v>
      </c>
      <c r="C41" s="252"/>
      <c r="D41" s="252">
        <v>2</v>
      </c>
      <c r="E41" s="259">
        <v>0.15</v>
      </c>
      <c r="F41" s="251">
        <v>500</v>
      </c>
      <c r="G41" s="253">
        <v>5</v>
      </c>
      <c r="H41" s="252">
        <f>(+D41*E41)/10*F41</f>
        <v>15</v>
      </c>
      <c r="I41" s="254">
        <v>50</v>
      </c>
      <c r="J41" s="255">
        <f>1.36*K41</f>
        <v>56.666666666666664</v>
      </c>
      <c r="K41" s="255">
        <f>(G41/3.6*H41)/(I41/100)</f>
        <v>41.666666666666664</v>
      </c>
    </row>
    <row r="42" spans="1:11" x14ac:dyDescent="0.25">
      <c r="A42" s="256"/>
      <c r="B42" s="250" t="s">
        <v>908</v>
      </c>
      <c r="C42" s="252"/>
      <c r="D42" s="252">
        <v>2.2000000000000002</v>
      </c>
      <c r="E42" s="259">
        <v>0.15</v>
      </c>
      <c r="F42" s="251">
        <v>500</v>
      </c>
      <c r="G42" s="253">
        <v>5</v>
      </c>
      <c r="H42" s="252">
        <f>(+D42*E42)/10*F42</f>
        <v>16.5</v>
      </c>
      <c r="I42" s="254">
        <v>50</v>
      </c>
      <c r="J42" s="255">
        <f>1.36*K42</f>
        <v>62.333333333333329</v>
      </c>
      <c r="K42" s="255">
        <f>(G42/3.6*H42)/(I42/100)</f>
        <v>45.833333333333329</v>
      </c>
    </row>
    <row r="43" spans="1:11" x14ac:dyDescent="0.25">
      <c r="A43" s="256"/>
      <c r="B43" s="250"/>
      <c r="C43" s="252"/>
      <c r="D43" s="252"/>
      <c r="E43" s="259"/>
      <c r="F43" s="251"/>
      <c r="G43" s="253"/>
      <c r="H43" s="252"/>
      <c r="I43" s="254"/>
      <c r="J43" s="255"/>
      <c r="K43" s="255"/>
    </row>
    <row r="44" spans="1:11" x14ac:dyDescent="0.25">
      <c r="A44" s="250" t="s">
        <v>909</v>
      </c>
      <c r="B44" s="251" t="s">
        <v>908</v>
      </c>
      <c r="C44" s="252"/>
      <c r="D44" s="252">
        <v>2.2000000000000002</v>
      </c>
      <c r="E44" s="259">
        <v>0.15</v>
      </c>
      <c r="F44" s="251">
        <v>500</v>
      </c>
      <c r="G44" s="253">
        <v>5</v>
      </c>
      <c r="H44" s="252">
        <f>(+D44*E44)/10*F44</f>
        <v>16.5</v>
      </c>
      <c r="I44" s="254">
        <v>50</v>
      </c>
      <c r="J44" s="255">
        <f>1.36*K44</f>
        <v>62.333333333333329</v>
      </c>
      <c r="K44" s="255">
        <f>(G44/3.6*H44)/(I44/100)</f>
        <v>45.833333333333329</v>
      </c>
    </row>
    <row r="45" spans="1:11" x14ac:dyDescent="0.25">
      <c r="A45" s="256"/>
      <c r="B45" s="251" t="s">
        <v>910</v>
      </c>
      <c r="C45" s="252"/>
      <c r="D45" s="252">
        <v>2.4</v>
      </c>
      <c r="E45" s="259">
        <v>0.15</v>
      </c>
      <c r="F45" s="251">
        <v>500</v>
      </c>
      <c r="G45" s="253">
        <v>5</v>
      </c>
      <c r="H45" s="252">
        <f>(+D45*E45)/10*F45</f>
        <v>18</v>
      </c>
      <c r="I45" s="254">
        <v>50</v>
      </c>
      <c r="J45" s="255">
        <f>1.36*K45</f>
        <v>68</v>
      </c>
      <c r="K45" s="255">
        <f>(G45/3.6*H45)/(I45/100)</f>
        <v>50</v>
      </c>
    </row>
    <row r="46" spans="1:11" x14ac:dyDescent="0.25">
      <c r="A46" s="256"/>
      <c r="B46" s="251" t="s">
        <v>911</v>
      </c>
      <c r="C46" s="252"/>
      <c r="D46" s="252">
        <v>2.6</v>
      </c>
      <c r="E46" s="259">
        <v>0.15</v>
      </c>
      <c r="F46" s="251">
        <v>500</v>
      </c>
      <c r="G46" s="253">
        <v>5</v>
      </c>
      <c r="H46" s="252">
        <f>(+D46*E46)/10*F46</f>
        <v>19.5</v>
      </c>
      <c r="I46" s="254">
        <v>50</v>
      </c>
      <c r="J46" s="255">
        <f>1.36*K46</f>
        <v>73.666666666666671</v>
      </c>
      <c r="K46" s="255">
        <f>(G46/3.6*H46)/(I46/100)</f>
        <v>54.166666666666664</v>
      </c>
    </row>
    <row r="47" spans="1:11" x14ac:dyDescent="0.25">
      <c r="A47" s="256"/>
      <c r="B47" s="251" t="s">
        <v>912</v>
      </c>
      <c r="C47" s="252"/>
      <c r="D47" s="252">
        <v>2.8</v>
      </c>
      <c r="E47" s="259">
        <v>0.15</v>
      </c>
      <c r="F47" s="251">
        <v>500</v>
      </c>
      <c r="G47" s="253">
        <v>5</v>
      </c>
      <c r="H47" s="252">
        <f>(+D47*E47)/10*F47</f>
        <v>20.999999999999996</v>
      </c>
      <c r="I47" s="254">
        <v>50</v>
      </c>
      <c r="J47" s="255">
        <f>1.36*K47</f>
        <v>79.333333333333329</v>
      </c>
      <c r="K47" s="255">
        <f>(G47/3.6*H47)/(I47/100)</f>
        <v>58.333333333333321</v>
      </c>
    </row>
    <row r="48" spans="1:11" x14ac:dyDescent="0.25">
      <c r="A48" s="256"/>
      <c r="B48" s="251"/>
      <c r="C48" s="252"/>
      <c r="D48" s="252"/>
      <c r="E48" s="259"/>
      <c r="F48" s="251"/>
      <c r="G48" s="253"/>
      <c r="H48" s="252"/>
      <c r="I48" s="254"/>
      <c r="J48" s="255"/>
      <c r="K48" s="255"/>
    </row>
    <row r="49" spans="1:11" x14ac:dyDescent="0.25">
      <c r="A49" s="250" t="s">
        <v>913</v>
      </c>
      <c r="B49" s="251" t="s">
        <v>914</v>
      </c>
      <c r="C49" s="252"/>
      <c r="D49" s="252">
        <v>2.6</v>
      </c>
      <c r="E49" s="259">
        <v>0.15</v>
      </c>
      <c r="F49" s="251">
        <v>500</v>
      </c>
      <c r="G49" s="253">
        <v>5</v>
      </c>
      <c r="H49" s="252">
        <f>(+D49*E49)/10*F49</f>
        <v>19.5</v>
      </c>
      <c r="I49" s="254">
        <v>50</v>
      </c>
      <c r="J49" s="255">
        <f>1.36*K49</f>
        <v>73.666666666666671</v>
      </c>
      <c r="K49" s="255">
        <f>(G49/3.6*H49)/(I49/100)</f>
        <v>54.166666666666664</v>
      </c>
    </row>
    <row r="50" spans="1:11" x14ac:dyDescent="0.25">
      <c r="A50" s="258"/>
      <c r="B50" s="251" t="s">
        <v>915</v>
      </c>
      <c r="C50" s="252"/>
      <c r="D50" s="252">
        <v>2.8</v>
      </c>
      <c r="E50" s="259">
        <v>0.15</v>
      </c>
      <c r="F50" s="251">
        <v>500</v>
      </c>
      <c r="G50" s="253">
        <v>5</v>
      </c>
      <c r="H50" s="252">
        <f>(+D50*E50)/10*F50</f>
        <v>20.999999999999996</v>
      </c>
      <c r="I50" s="254">
        <v>50</v>
      </c>
      <c r="J50" s="255">
        <f>1.36*K50</f>
        <v>79.333333333333329</v>
      </c>
      <c r="K50" s="255">
        <f>(G50/3.6*H50)/(I50/100)</f>
        <v>58.333333333333321</v>
      </c>
    </row>
    <row r="51" spans="1:11" x14ac:dyDescent="0.25">
      <c r="A51" s="258"/>
      <c r="B51" s="251" t="s">
        <v>916</v>
      </c>
      <c r="C51" s="252"/>
      <c r="D51" s="252">
        <v>3</v>
      </c>
      <c r="E51" s="259">
        <v>0.15</v>
      </c>
      <c r="F51" s="251">
        <v>500</v>
      </c>
      <c r="G51" s="253">
        <v>5</v>
      </c>
      <c r="H51" s="252">
        <f>(+D51*E51)/10*F51</f>
        <v>22.5</v>
      </c>
      <c r="I51" s="254">
        <v>50</v>
      </c>
      <c r="J51" s="255">
        <f>1.36*K51</f>
        <v>85</v>
      </c>
      <c r="K51" s="255">
        <f>(G51/3.6*H51)/(I51/100)</f>
        <v>62.5</v>
      </c>
    </row>
    <row r="52" spans="1:11" x14ac:dyDescent="0.25">
      <c r="A52" s="258"/>
      <c r="B52" s="251"/>
      <c r="C52" s="252"/>
      <c r="D52" s="252"/>
      <c r="E52" s="252"/>
      <c r="F52" s="251"/>
      <c r="G52" s="253"/>
      <c r="H52" s="252"/>
      <c r="I52" s="254"/>
      <c r="J52" s="255"/>
      <c r="K52" s="255"/>
    </row>
    <row r="53" spans="1:11" x14ac:dyDescent="0.25">
      <c r="A53" s="257" t="s">
        <v>917</v>
      </c>
      <c r="B53" s="251"/>
      <c r="C53" s="252"/>
      <c r="D53" s="252"/>
      <c r="E53" s="252"/>
      <c r="F53" s="251"/>
      <c r="G53" s="253"/>
      <c r="H53" s="252"/>
      <c r="I53" s="254"/>
      <c r="J53" s="255"/>
      <c r="K53" s="255"/>
    </row>
    <row r="54" spans="1:11" x14ac:dyDescent="0.25">
      <c r="A54" s="250" t="s">
        <v>918</v>
      </c>
      <c r="B54" s="251"/>
      <c r="C54" s="252"/>
      <c r="D54" s="252">
        <v>1.1000000000000001</v>
      </c>
      <c r="E54" s="252">
        <v>0.15</v>
      </c>
      <c r="F54" s="251"/>
      <c r="G54" s="253">
        <v>2</v>
      </c>
      <c r="H54" s="252">
        <f t="shared" ref="H54:H59" si="4">25*D54</f>
        <v>27.500000000000004</v>
      </c>
      <c r="I54" s="254">
        <v>80</v>
      </c>
      <c r="J54" s="255">
        <f t="shared" ref="J54:J59" si="5">1.36*K54</f>
        <v>25.972222222222229</v>
      </c>
      <c r="K54" s="255">
        <f t="shared" ref="K54:K59" si="6">(G54/3.6*H54)/(I54/100)</f>
        <v>19.097222222222225</v>
      </c>
    </row>
    <row r="55" spans="1:11" x14ac:dyDescent="0.25">
      <c r="A55" s="256"/>
      <c r="B55" s="251"/>
      <c r="C55" s="252"/>
      <c r="D55" s="252">
        <v>1.3</v>
      </c>
      <c r="E55" s="252">
        <v>0.15</v>
      </c>
      <c r="F55" s="251"/>
      <c r="G55" s="253">
        <v>2</v>
      </c>
      <c r="H55" s="252">
        <f t="shared" si="4"/>
        <v>32.5</v>
      </c>
      <c r="I55" s="254">
        <v>80</v>
      </c>
      <c r="J55" s="255">
        <f t="shared" si="5"/>
        <v>30.69444444444445</v>
      </c>
      <c r="K55" s="255">
        <f t="shared" si="6"/>
        <v>22.569444444444446</v>
      </c>
    </row>
    <row r="56" spans="1:11" x14ac:dyDescent="0.25">
      <c r="A56" s="256"/>
      <c r="B56" s="251"/>
      <c r="C56" s="252"/>
      <c r="D56" s="252">
        <v>1.5</v>
      </c>
      <c r="E56" s="252">
        <v>0.15</v>
      </c>
      <c r="F56" s="251"/>
      <c r="G56" s="253">
        <v>2</v>
      </c>
      <c r="H56" s="252">
        <f t="shared" si="4"/>
        <v>37.5</v>
      </c>
      <c r="I56" s="254">
        <v>80</v>
      </c>
      <c r="J56" s="255">
        <f t="shared" si="5"/>
        <v>35.416666666666671</v>
      </c>
      <c r="K56" s="255">
        <f t="shared" si="6"/>
        <v>26.041666666666668</v>
      </c>
    </row>
    <row r="57" spans="1:11" x14ac:dyDescent="0.25">
      <c r="A57" s="256"/>
      <c r="B57" s="251"/>
      <c r="C57" s="252"/>
      <c r="D57" s="252">
        <v>1.7</v>
      </c>
      <c r="E57" s="252">
        <v>0.15</v>
      </c>
      <c r="F57" s="251"/>
      <c r="G57" s="253">
        <v>2</v>
      </c>
      <c r="H57" s="252">
        <f t="shared" si="4"/>
        <v>42.5</v>
      </c>
      <c r="I57" s="254">
        <v>80</v>
      </c>
      <c r="J57" s="255">
        <f t="shared" si="5"/>
        <v>40.138888888888886</v>
      </c>
      <c r="K57" s="255">
        <f t="shared" si="6"/>
        <v>29.513888888888886</v>
      </c>
    </row>
    <row r="58" spans="1:11" x14ac:dyDescent="0.25">
      <c r="A58" s="256"/>
      <c r="B58" s="251"/>
      <c r="C58" s="252"/>
      <c r="D58" s="252">
        <v>1.9</v>
      </c>
      <c r="E58" s="252">
        <v>0.15</v>
      </c>
      <c r="F58" s="251"/>
      <c r="G58" s="253">
        <v>2</v>
      </c>
      <c r="H58" s="252">
        <f t="shared" si="4"/>
        <v>47.5</v>
      </c>
      <c r="I58" s="254">
        <v>80</v>
      </c>
      <c r="J58" s="255">
        <f t="shared" si="5"/>
        <v>44.861111111111107</v>
      </c>
      <c r="K58" s="255">
        <f t="shared" si="6"/>
        <v>32.986111111111107</v>
      </c>
    </row>
    <row r="59" spans="1:11" x14ac:dyDescent="0.25">
      <c r="A59" s="256"/>
      <c r="B59" s="251"/>
      <c r="C59" s="252"/>
      <c r="D59" s="252">
        <v>2.2000000000000002</v>
      </c>
      <c r="E59" s="252">
        <v>0.15</v>
      </c>
      <c r="F59" s="251"/>
      <c r="G59" s="253">
        <v>2</v>
      </c>
      <c r="H59" s="252">
        <f t="shared" si="4"/>
        <v>55.000000000000007</v>
      </c>
      <c r="I59" s="254">
        <v>80</v>
      </c>
      <c r="J59" s="255">
        <f t="shared" si="5"/>
        <v>51.944444444444457</v>
      </c>
      <c r="K59" s="255">
        <f t="shared" si="6"/>
        <v>38.19444444444445</v>
      </c>
    </row>
    <row r="60" spans="1:11" x14ac:dyDescent="0.25">
      <c r="A60" s="256"/>
      <c r="B60" s="251"/>
      <c r="C60" s="252"/>
      <c r="D60" s="252"/>
      <c r="E60" s="252"/>
      <c r="F60" s="251"/>
      <c r="G60" s="253"/>
      <c r="H60" s="252"/>
      <c r="I60" s="254"/>
      <c r="J60" s="255"/>
      <c r="K60" s="255"/>
    </row>
    <row r="61" spans="1:11" x14ac:dyDescent="0.25">
      <c r="A61" s="257" t="s">
        <v>919</v>
      </c>
      <c r="B61" s="262"/>
      <c r="C61" s="263"/>
      <c r="D61" s="263"/>
      <c r="E61" s="263"/>
      <c r="F61" s="262"/>
      <c r="G61" s="264"/>
      <c r="H61" s="263"/>
      <c r="I61" s="255"/>
      <c r="J61" s="255"/>
      <c r="K61" s="255"/>
    </row>
    <row r="62" spans="1:11" x14ac:dyDescent="0.25">
      <c r="A62" s="250" t="s">
        <v>920</v>
      </c>
      <c r="B62" s="251">
        <v>2</v>
      </c>
      <c r="C62" s="252">
        <v>0.8</v>
      </c>
      <c r="D62" s="252">
        <f>+B62*C62</f>
        <v>1.6</v>
      </c>
      <c r="E62" s="252">
        <v>0.15</v>
      </c>
      <c r="F62" s="251">
        <v>500</v>
      </c>
      <c r="G62" s="253">
        <v>3</v>
      </c>
      <c r="H62" s="252">
        <f>(+D62*E62)/10*F62</f>
        <v>12</v>
      </c>
      <c r="I62" s="254">
        <v>50</v>
      </c>
      <c r="J62" s="255">
        <f>1.36*K62</f>
        <v>27.200000000000003</v>
      </c>
      <c r="K62" s="255">
        <f>(G62/3.6*H62)/(I62/100)</f>
        <v>20</v>
      </c>
    </row>
    <row r="63" spans="1:11" x14ac:dyDescent="0.25">
      <c r="A63" s="250" t="s">
        <v>921</v>
      </c>
      <c r="B63" s="251">
        <v>3</v>
      </c>
      <c r="C63" s="252">
        <v>0.8</v>
      </c>
      <c r="D63" s="252">
        <f>+B63*C63</f>
        <v>2.4000000000000004</v>
      </c>
      <c r="E63" s="252">
        <v>0.15</v>
      </c>
      <c r="F63" s="251">
        <v>500</v>
      </c>
      <c r="G63" s="253">
        <v>3</v>
      </c>
      <c r="H63" s="252">
        <f>(+D63*E63)/10*F63</f>
        <v>18.000000000000004</v>
      </c>
      <c r="I63" s="254">
        <v>50</v>
      </c>
      <c r="J63" s="255">
        <f>1.36*K63</f>
        <v>40.800000000000004</v>
      </c>
      <c r="K63" s="255">
        <f>(G63/3.6*H63)/(I63/100)</f>
        <v>30.000000000000004</v>
      </c>
    </row>
    <row r="64" spans="1:11" x14ac:dyDescent="0.25">
      <c r="A64" s="250" t="s">
        <v>922</v>
      </c>
      <c r="B64" s="251">
        <v>4</v>
      </c>
      <c r="C64" s="252">
        <v>0.8</v>
      </c>
      <c r="D64" s="252">
        <f>+B64*C64</f>
        <v>3.2</v>
      </c>
      <c r="E64" s="252">
        <v>0.15</v>
      </c>
      <c r="F64" s="251">
        <v>500</v>
      </c>
      <c r="G64" s="253">
        <v>3</v>
      </c>
      <c r="H64" s="252">
        <f>(+D64*E64)/10*F64</f>
        <v>24</v>
      </c>
      <c r="I64" s="254">
        <v>50</v>
      </c>
      <c r="J64" s="255">
        <f>1.36*K64</f>
        <v>54.400000000000006</v>
      </c>
      <c r="K64" s="255">
        <f>(G64/3.6*H64)/(I64/100)</f>
        <v>40</v>
      </c>
    </row>
    <row r="65" spans="1:11" x14ac:dyDescent="0.25">
      <c r="A65" s="250" t="s">
        <v>923</v>
      </c>
      <c r="B65" s="251">
        <v>5</v>
      </c>
      <c r="C65" s="252">
        <v>0.8</v>
      </c>
      <c r="D65" s="252">
        <f>+B65*C65</f>
        <v>4</v>
      </c>
      <c r="E65" s="252">
        <v>0.15</v>
      </c>
      <c r="F65" s="251">
        <v>500</v>
      </c>
      <c r="G65" s="253">
        <v>3</v>
      </c>
      <c r="H65" s="252">
        <f>(+D65*E65)/10*F65</f>
        <v>30</v>
      </c>
      <c r="I65" s="254">
        <v>50</v>
      </c>
      <c r="J65" s="255">
        <f>1.36*K65</f>
        <v>68</v>
      </c>
      <c r="K65" s="255">
        <f>(G65/3.6*H65)/(I65/100)</f>
        <v>49.999999999999993</v>
      </c>
    </row>
    <row r="66" spans="1:11" x14ac:dyDescent="0.25">
      <c r="A66" s="250" t="s">
        <v>924</v>
      </c>
      <c r="B66" s="251">
        <v>6</v>
      </c>
      <c r="C66" s="252">
        <v>0.8</v>
      </c>
      <c r="D66" s="252">
        <f>+B66*C66</f>
        <v>4.8000000000000007</v>
      </c>
      <c r="E66" s="252">
        <v>0.15</v>
      </c>
      <c r="F66" s="251">
        <v>500</v>
      </c>
      <c r="G66" s="253">
        <v>3</v>
      </c>
      <c r="H66" s="252">
        <f>(+D66*E66)/10*F66</f>
        <v>36.000000000000007</v>
      </c>
      <c r="I66" s="254">
        <v>50</v>
      </c>
      <c r="J66" s="255">
        <f>1.36*K66</f>
        <v>81.600000000000009</v>
      </c>
      <c r="K66" s="255">
        <f>(G66/3.6*H66)/(I66/100)</f>
        <v>60.000000000000007</v>
      </c>
    </row>
    <row r="67" spans="1:11" x14ac:dyDescent="0.25">
      <c r="A67" s="256"/>
      <c r="B67" s="251"/>
      <c r="C67" s="252"/>
      <c r="D67" s="252"/>
      <c r="E67" s="252"/>
      <c r="F67" s="251"/>
      <c r="G67" s="253"/>
      <c r="H67" s="252"/>
      <c r="I67" s="254"/>
      <c r="J67" s="255"/>
      <c r="K67" s="255"/>
    </row>
    <row r="68" spans="1:11" ht="21" x14ac:dyDescent="0.25">
      <c r="A68" s="257" t="s">
        <v>925</v>
      </c>
      <c r="B68" s="251"/>
      <c r="C68" s="252"/>
      <c r="D68" s="252"/>
      <c r="E68" s="252"/>
      <c r="F68" s="251"/>
      <c r="G68" s="253"/>
      <c r="H68" s="252"/>
      <c r="I68" s="254"/>
      <c r="J68" s="255"/>
      <c r="K68" s="255"/>
    </row>
    <row r="69" spans="1:11" x14ac:dyDescent="0.25">
      <c r="A69" s="250" t="s">
        <v>926</v>
      </c>
      <c r="B69" s="251"/>
      <c r="C69" s="252"/>
      <c r="D69" s="252">
        <v>2.5</v>
      </c>
      <c r="E69" s="252"/>
      <c r="F69" s="251"/>
      <c r="G69" s="253">
        <v>4</v>
      </c>
      <c r="H69" s="252"/>
      <c r="I69" s="254"/>
      <c r="J69" s="255">
        <v>22</v>
      </c>
      <c r="K69" s="255">
        <f>+J69*0.736</f>
        <v>16.192</v>
      </c>
    </row>
    <row r="70" spans="1:11" x14ac:dyDescent="0.25">
      <c r="A70" s="256"/>
      <c r="B70" s="251"/>
      <c r="C70" s="252"/>
      <c r="D70" s="252">
        <v>3</v>
      </c>
      <c r="E70" s="252"/>
      <c r="F70" s="251"/>
      <c r="G70" s="253">
        <v>4</v>
      </c>
      <c r="H70" s="252"/>
      <c r="I70" s="254"/>
      <c r="J70" s="255">
        <v>28</v>
      </c>
      <c r="K70" s="255">
        <f>+J70*0.736</f>
        <v>20.608000000000001</v>
      </c>
    </row>
    <row r="71" spans="1:11" x14ac:dyDescent="0.25">
      <c r="A71" s="256"/>
      <c r="B71" s="251"/>
      <c r="C71" s="252"/>
      <c r="D71" s="252">
        <v>3.5</v>
      </c>
      <c r="E71" s="252"/>
      <c r="F71" s="251"/>
      <c r="G71" s="253">
        <v>4</v>
      </c>
      <c r="H71" s="252"/>
      <c r="I71" s="254"/>
      <c r="J71" s="255">
        <v>35</v>
      </c>
      <c r="K71" s="255">
        <f>+J71*0.736</f>
        <v>25.759999999999998</v>
      </c>
    </row>
    <row r="72" spans="1:11" x14ac:dyDescent="0.25">
      <c r="A72" s="256"/>
      <c r="B72" s="251"/>
      <c r="C72" s="252"/>
      <c r="D72" s="265"/>
      <c r="E72" s="265"/>
      <c r="F72" s="258"/>
      <c r="G72" s="266"/>
      <c r="H72" s="265"/>
      <c r="I72" s="267"/>
      <c r="J72" s="268"/>
      <c r="K72" s="268"/>
    </row>
    <row r="73" spans="1:11" x14ac:dyDescent="0.25">
      <c r="A73" s="250" t="s">
        <v>927</v>
      </c>
      <c r="B73" s="251"/>
      <c r="C73" s="252"/>
      <c r="D73" s="269"/>
      <c r="E73" s="269"/>
      <c r="F73" s="269"/>
      <c r="G73" s="253">
        <v>6</v>
      </c>
      <c r="H73" s="269"/>
      <c r="I73" s="269"/>
      <c r="J73" s="270">
        <v>30</v>
      </c>
      <c r="K73" s="255">
        <f t="shared" ref="K73:K81" si="7">+J73*0.736</f>
        <v>22.08</v>
      </c>
    </row>
    <row r="74" spans="1:11" x14ac:dyDescent="0.25">
      <c r="A74" s="250" t="s">
        <v>928</v>
      </c>
      <c r="B74" s="251"/>
      <c r="C74" s="252"/>
      <c r="D74" s="252"/>
      <c r="E74" s="252"/>
      <c r="F74" s="251"/>
      <c r="G74" s="253">
        <v>6</v>
      </c>
      <c r="H74" s="252"/>
      <c r="I74" s="254"/>
      <c r="J74" s="255">
        <v>40</v>
      </c>
      <c r="K74" s="255">
        <f t="shared" si="7"/>
        <v>29.439999999999998</v>
      </c>
    </row>
    <row r="75" spans="1:11" x14ac:dyDescent="0.25">
      <c r="A75" s="250" t="s">
        <v>929</v>
      </c>
      <c r="B75" s="251"/>
      <c r="C75" s="252"/>
      <c r="D75" s="252"/>
      <c r="E75" s="252"/>
      <c r="F75" s="251"/>
      <c r="G75" s="253">
        <v>6</v>
      </c>
      <c r="H75" s="252"/>
      <c r="I75" s="254"/>
      <c r="J75" s="255">
        <v>50</v>
      </c>
      <c r="K75" s="255">
        <f t="shared" si="7"/>
        <v>36.799999999999997</v>
      </c>
    </row>
    <row r="76" spans="1:11" x14ac:dyDescent="0.25">
      <c r="A76" s="250" t="s">
        <v>930</v>
      </c>
      <c r="B76" s="251"/>
      <c r="C76" s="252"/>
      <c r="D76" s="252"/>
      <c r="E76" s="252"/>
      <c r="F76" s="251"/>
      <c r="G76" s="253">
        <v>6</v>
      </c>
      <c r="H76" s="252"/>
      <c r="I76" s="254"/>
      <c r="J76" s="255">
        <v>60</v>
      </c>
      <c r="K76" s="255">
        <f t="shared" si="7"/>
        <v>44.16</v>
      </c>
    </row>
    <row r="77" spans="1:11" x14ac:dyDescent="0.25">
      <c r="A77" s="256"/>
      <c r="B77" s="251"/>
      <c r="C77" s="252"/>
      <c r="D77" s="252"/>
      <c r="E77" s="252"/>
      <c r="F77" s="251"/>
      <c r="G77" s="269"/>
      <c r="H77" s="252"/>
      <c r="I77" s="254"/>
      <c r="J77" s="255"/>
      <c r="K77" s="255"/>
    </row>
    <row r="78" spans="1:11" x14ac:dyDescent="0.25">
      <c r="A78" s="250" t="s">
        <v>931</v>
      </c>
      <c r="B78" s="251"/>
      <c r="C78" s="252"/>
      <c r="D78" s="252"/>
      <c r="E78" s="252"/>
      <c r="F78" s="251"/>
      <c r="G78" s="253">
        <v>6</v>
      </c>
      <c r="H78" s="252"/>
      <c r="I78" s="254"/>
      <c r="J78" s="255">
        <v>30</v>
      </c>
      <c r="K78" s="255">
        <f t="shared" si="7"/>
        <v>22.08</v>
      </c>
    </row>
    <row r="79" spans="1:11" x14ac:dyDescent="0.25">
      <c r="A79" s="250" t="s">
        <v>932</v>
      </c>
      <c r="B79" s="251"/>
      <c r="C79" s="252"/>
      <c r="D79" s="252"/>
      <c r="E79" s="252"/>
      <c r="F79" s="251"/>
      <c r="G79" s="253">
        <v>6</v>
      </c>
      <c r="H79" s="252"/>
      <c r="I79" s="254"/>
      <c r="J79" s="255">
        <v>40</v>
      </c>
      <c r="K79" s="255">
        <f t="shared" si="7"/>
        <v>29.439999999999998</v>
      </c>
    </row>
    <row r="80" spans="1:11" x14ac:dyDescent="0.25">
      <c r="A80" s="250" t="s">
        <v>933</v>
      </c>
      <c r="B80" s="251"/>
      <c r="C80" s="252"/>
      <c r="D80" s="252"/>
      <c r="E80" s="252"/>
      <c r="F80" s="251"/>
      <c r="G80" s="253"/>
      <c r="H80" s="252"/>
      <c r="I80" s="254"/>
      <c r="J80" s="255">
        <v>50</v>
      </c>
      <c r="K80" s="255">
        <f t="shared" si="7"/>
        <v>36.799999999999997</v>
      </c>
    </row>
    <row r="81" spans="1:11" x14ac:dyDescent="0.25">
      <c r="A81" s="250" t="s">
        <v>934</v>
      </c>
      <c r="B81" s="251"/>
      <c r="C81" s="252"/>
      <c r="D81" s="252"/>
      <c r="E81" s="252"/>
      <c r="F81" s="251"/>
      <c r="G81" s="253">
        <v>6</v>
      </c>
      <c r="H81" s="252"/>
      <c r="I81" s="254"/>
      <c r="J81" s="255">
        <v>60</v>
      </c>
      <c r="K81" s="255">
        <f t="shared" si="7"/>
        <v>44.16</v>
      </c>
    </row>
    <row r="82" spans="1:11" x14ac:dyDescent="0.25">
      <c r="A82" s="256"/>
      <c r="B82" s="251"/>
      <c r="C82" s="252"/>
      <c r="D82" s="252"/>
      <c r="E82" s="252"/>
      <c r="F82" s="251"/>
      <c r="G82" s="269"/>
      <c r="H82" s="252"/>
      <c r="I82" s="254"/>
      <c r="J82" s="255"/>
      <c r="K82" s="255"/>
    </row>
    <row r="83" spans="1:11" x14ac:dyDescent="0.25">
      <c r="A83" s="250" t="s">
        <v>935</v>
      </c>
      <c r="B83" s="251">
        <v>1</v>
      </c>
      <c r="C83" s="252">
        <v>0.8</v>
      </c>
      <c r="D83" s="252">
        <f>+B83*C83</f>
        <v>0.8</v>
      </c>
      <c r="E83" s="252">
        <v>0.5</v>
      </c>
      <c r="F83" s="251">
        <v>750</v>
      </c>
      <c r="G83" s="253">
        <v>2</v>
      </c>
      <c r="H83" s="252"/>
      <c r="I83" s="254"/>
      <c r="J83" s="255">
        <v>45</v>
      </c>
      <c r="K83" s="255">
        <f>+J83*0.736</f>
        <v>33.119999999999997</v>
      </c>
    </row>
    <row r="84" spans="1:11" x14ac:dyDescent="0.25">
      <c r="A84" s="250" t="s">
        <v>936</v>
      </c>
      <c r="B84" s="251">
        <v>2</v>
      </c>
      <c r="C84" s="252">
        <v>0.8</v>
      </c>
      <c r="D84" s="252">
        <f>+B84*C84</f>
        <v>1.6</v>
      </c>
      <c r="E84" s="252">
        <v>0.5</v>
      </c>
      <c r="F84" s="251">
        <v>750</v>
      </c>
      <c r="G84" s="253">
        <v>2</v>
      </c>
      <c r="H84" s="252"/>
      <c r="I84" s="254"/>
      <c r="J84" s="255">
        <v>90</v>
      </c>
      <c r="K84" s="255">
        <f>+J84*0.736</f>
        <v>66.239999999999995</v>
      </c>
    </row>
    <row r="85" spans="1:11" x14ac:dyDescent="0.25">
      <c r="A85" s="250" t="s">
        <v>921</v>
      </c>
      <c r="B85" s="251">
        <v>3</v>
      </c>
      <c r="C85" s="252">
        <v>0.8</v>
      </c>
      <c r="D85" s="252">
        <f>+B85*C85</f>
        <v>2.4000000000000004</v>
      </c>
      <c r="E85" s="252">
        <v>0.5</v>
      </c>
      <c r="F85" s="251">
        <v>750</v>
      </c>
      <c r="G85" s="253">
        <v>2</v>
      </c>
      <c r="H85" s="252"/>
      <c r="I85" s="254"/>
      <c r="J85" s="255">
        <v>130</v>
      </c>
      <c r="K85" s="255">
        <f>+J85*0.736</f>
        <v>95.679999999999993</v>
      </c>
    </row>
    <row r="86" spans="1:11" x14ac:dyDescent="0.25">
      <c r="A86" s="260"/>
      <c r="B86" s="251"/>
      <c r="C86" s="252"/>
      <c r="D86" s="252"/>
      <c r="E86" s="252"/>
      <c r="F86" s="251"/>
      <c r="G86" s="253"/>
      <c r="H86" s="252"/>
      <c r="I86" s="254"/>
      <c r="J86" s="255"/>
      <c r="K86" s="255"/>
    </row>
    <row r="87" spans="1:11" x14ac:dyDescent="0.25">
      <c r="A87" s="257" t="s">
        <v>937</v>
      </c>
      <c r="B87" s="251"/>
      <c r="C87" s="252"/>
      <c r="D87" s="252"/>
      <c r="E87" s="252"/>
      <c r="F87" s="251"/>
      <c r="G87" s="253"/>
      <c r="H87" s="252"/>
      <c r="I87" s="254"/>
      <c r="J87" s="255"/>
      <c r="K87" s="255"/>
    </row>
    <row r="88" spans="1:11" x14ac:dyDescent="0.25">
      <c r="A88" s="250" t="s">
        <v>938</v>
      </c>
      <c r="B88" s="251"/>
      <c r="C88" s="252"/>
      <c r="D88" s="252">
        <v>2</v>
      </c>
      <c r="E88" s="252"/>
      <c r="F88" s="251"/>
      <c r="G88" s="253">
        <v>4</v>
      </c>
      <c r="H88" s="252"/>
      <c r="I88" s="254"/>
      <c r="J88" s="255">
        <v>30</v>
      </c>
      <c r="K88" s="255">
        <f>+J88*0.736</f>
        <v>22.08</v>
      </c>
    </row>
    <row r="89" spans="1:11" x14ac:dyDescent="0.25">
      <c r="A89" s="256"/>
      <c r="B89" s="251"/>
      <c r="C89" s="252"/>
      <c r="D89" s="252">
        <v>2.25</v>
      </c>
      <c r="E89" s="252"/>
      <c r="F89" s="251"/>
      <c r="G89" s="253">
        <v>4</v>
      </c>
      <c r="H89" s="252"/>
      <c r="I89" s="254"/>
      <c r="J89" s="255">
        <v>35</v>
      </c>
      <c r="K89" s="255">
        <f>+J89*0.736</f>
        <v>25.759999999999998</v>
      </c>
    </row>
    <row r="90" spans="1:11" x14ac:dyDescent="0.25">
      <c r="A90" s="256"/>
      <c r="B90" s="251"/>
      <c r="C90" s="252"/>
      <c r="D90" s="252">
        <v>2.5</v>
      </c>
      <c r="E90" s="252"/>
      <c r="F90" s="251"/>
      <c r="G90" s="253">
        <v>4</v>
      </c>
      <c r="H90" s="252"/>
      <c r="I90" s="254"/>
      <c r="J90" s="255">
        <v>40</v>
      </c>
      <c r="K90" s="255">
        <f>+J90*0.736</f>
        <v>29.439999999999998</v>
      </c>
    </row>
    <row r="91" spans="1:11" x14ac:dyDescent="0.25">
      <c r="A91" s="256"/>
      <c r="B91" s="251"/>
      <c r="C91" s="252"/>
      <c r="D91" s="252">
        <v>2.75</v>
      </c>
      <c r="E91" s="252"/>
      <c r="F91" s="251"/>
      <c r="G91" s="253">
        <v>4</v>
      </c>
      <c r="H91" s="252"/>
      <c r="I91" s="254"/>
      <c r="J91" s="255">
        <v>45</v>
      </c>
      <c r="K91" s="255">
        <f>+J91*0.736</f>
        <v>33.119999999999997</v>
      </c>
    </row>
    <row r="92" spans="1:11" x14ac:dyDescent="0.25">
      <c r="A92" s="256"/>
      <c r="B92" s="251"/>
      <c r="C92" s="252"/>
      <c r="D92" s="252">
        <v>3</v>
      </c>
      <c r="E92" s="252"/>
      <c r="F92" s="251"/>
      <c r="G92" s="253">
        <v>4</v>
      </c>
      <c r="H92" s="252"/>
      <c r="I92" s="254"/>
      <c r="J92" s="255">
        <v>50</v>
      </c>
      <c r="K92" s="255">
        <f>+J92*0.736</f>
        <v>36.799999999999997</v>
      </c>
    </row>
    <row r="93" spans="1:11" x14ac:dyDescent="0.25">
      <c r="A93" s="260"/>
      <c r="B93" s="251"/>
      <c r="C93" s="252"/>
      <c r="D93" s="252"/>
      <c r="E93" s="252"/>
      <c r="F93" s="251"/>
      <c r="G93" s="253"/>
      <c r="H93" s="252"/>
      <c r="I93" s="254"/>
      <c r="J93" s="255"/>
      <c r="K93" s="255"/>
    </row>
    <row r="94" spans="1:11" x14ac:dyDescent="0.25">
      <c r="A94" s="250" t="s">
        <v>939</v>
      </c>
      <c r="B94" s="251" t="s">
        <v>940</v>
      </c>
      <c r="C94" s="252">
        <v>0.8</v>
      </c>
      <c r="D94" s="252">
        <f>4*0.8</f>
        <v>3.2</v>
      </c>
      <c r="E94" s="252"/>
      <c r="F94" s="251"/>
      <c r="G94" s="253">
        <v>3</v>
      </c>
      <c r="H94" s="252"/>
      <c r="I94" s="254"/>
      <c r="J94" s="255">
        <v>50</v>
      </c>
      <c r="K94" s="255">
        <f>+J94*0.736</f>
        <v>36.799999999999997</v>
      </c>
    </row>
    <row r="95" spans="1:11" x14ac:dyDescent="0.25">
      <c r="A95" s="250" t="s">
        <v>924</v>
      </c>
      <c r="B95" s="251" t="s">
        <v>941</v>
      </c>
      <c r="C95" s="252">
        <v>0.8</v>
      </c>
      <c r="D95" s="252">
        <f>6*C95</f>
        <v>4.8000000000000007</v>
      </c>
      <c r="E95" s="252"/>
      <c r="F95" s="251"/>
      <c r="G95" s="253">
        <v>3</v>
      </c>
      <c r="H95" s="252"/>
      <c r="I95" s="254"/>
      <c r="J95" s="255">
        <v>60</v>
      </c>
      <c r="K95" s="255">
        <f>+J95*0.736</f>
        <v>44.16</v>
      </c>
    </row>
    <row r="96" spans="1:11" x14ac:dyDescent="0.25">
      <c r="A96" s="250" t="s">
        <v>942</v>
      </c>
      <c r="B96" s="251" t="s">
        <v>943</v>
      </c>
      <c r="C96" s="252">
        <v>0.8</v>
      </c>
      <c r="D96" s="252">
        <f>8*0.8</f>
        <v>6.4</v>
      </c>
      <c r="E96" s="252"/>
      <c r="F96" s="251"/>
      <c r="G96" s="253">
        <v>3</v>
      </c>
      <c r="H96" s="252"/>
      <c r="I96" s="254"/>
      <c r="J96" s="255">
        <v>70</v>
      </c>
      <c r="K96" s="255">
        <f>+J96*0.736</f>
        <v>51.519999999999996</v>
      </c>
    </row>
    <row r="97" spans="1:11" x14ac:dyDescent="0.25">
      <c r="A97" s="260"/>
      <c r="B97" s="251"/>
      <c r="C97" s="252"/>
      <c r="D97" s="252"/>
      <c r="E97" s="252"/>
      <c r="F97" s="251"/>
      <c r="G97" s="253"/>
      <c r="H97" s="252"/>
      <c r="I97" s="254"/>
      <c r="J97" s="255"/>
      <c r="K97" s="255"/>
    </row>
    <row r="98" spans="1:11" x14ac:dyDescent="0.25">
      <c r="A98" s="257" t="s">
        <v>944</v>
      </c>
      <c r="B98" s="251"/>
      <c r="C98" s="252"/>
      <c r="D98" s="252"/>
      <c r="E98" s="252"/>
      <c r="F98" s="251"/>
      <c r="G98" s="253"/>
      <c r="H98" s="252"/>
      <c r="I98" s="254"/>
      <c r="J98" s="255"/>
      <c r="K98" s="255"/>
    </row>
    <row r="99" spans="1:11" x14ac:dyDescent="0.25">
      <c r="A99" s="250" t="s">
        <v>945</v>
      </c>
      <c r="B99" s="251"/>
      <c r="C99" s="252"/>
      <c r="D99" s="252">
        <v>2.2999999999999998</v>
      </c>
      <c r="E99" s="252"/>
      <c r="F99" s="251"/>
      <c r="G99" s="253">
        <v>4</v>
      </c>
      <c r="H99" s="252"/>
      <c r="I99" s="254"/>
      <c r="J99" s="255">
        <v>35</v>
      </c>
      <c r="K99" s="255">
        <f>+J99*0.736</f>
        <v>25.759999999999998</v>
      </c>
    </row>
    <row r="100" spans="1:11" x14ac:dyDescent="0.25">
      <c r="A100" s="256"/>
      <c r="B100" s="251"/>
      <c r="C100" s="252"/>
      <c r="D100" s="252">
        <v>3.05</v>
      </c>
      <c r="E100" s="252"/>
      <c r="F100" s="251"/>
      <c r="G100" s="253">
        <v>4</v>
      </c>
      <c r="H100" s="252"/>
      <c r="I100" s="254"/>
      <c r="J100" s="255">
        <v>45</v>
      </c>
      <c r="K100" s="255">
        <f>+J100*0.736</f>
        <v>33.119999999999997</v>
      </c>
    </row>
    <row r="101" spans="1:11" x14ac:dyDescent="0.25">
      <c r="A101" s="256"/>
      <c r="B101" s="251"/>
      <c r="C101" s="252"/>
      <c r="D101" s="252"/>
      <c r="E101" s="252"/>
      <c r="F101" s="251"/>
      <c r="G101" s="253"/>
      <c r="H101" s="252"/>
      <c r="I101" s="254"/>
      <c r="J101" s="255"/>
      <c r="K101" s="255"/>
    </row>
    <row r="102" spans="1:11" x14ac:dyDescent="0.25">
      <c r="A102" s="257" t="s">
        <v>946</v>
      </c>
      <c r="B102" s="262"/>
      <c r="C102" s="263"/>
      <c r="D102" s="263"/>
      <c r="E102" s="263"/>
      <c r="F102" s="262"/>
      <c r="G102" s="264"/>
      <c r="H102" s="263"/>
      <c r="I102" s="255"/>
      <c r="J102" s="255"/>
      <c r="K102" s="255"/>
    </row>
    <row r="103" spans="1:11" x14ac:dyDescent="0.25">
      <c r="A103" s="250" t="s">
        <v>947</v>
      </c>
      <c r="B103" s="251">
        <v>2</v>
      </c>
      <c r="C103" s="252">
        <v>0.8</v>
      </c>
      <c r="D103" s="252">
        <f>+B103*C103</f>
        <v>1.6</v>
      </c>
      <c r="E103" s="252"/>
      <c r="F103" s="251"/>
      <c r="G103" s="253">
        <v>2</v>
      </c>
      <c r="H103" s="252"/>
      <c r="I103" s="254"/>
      <c r="J103" s="255">
        <v>15</v>
      </c>
      <c r="K103" s="255">
        <f>+J103*0.736</f>
        <v>11.04</v>
      </c>
    </row>
    <row r="104" spans="1:11" x14ac:dyDescent="0.25">
      <c r="A104" s="250" t="s">
        <v>922</v>
      </c>
      <c r="B104" s="251">
        <v>4</v>
      </c>
      <c r="C104" s="252">
        <v>0.8</v>
      </c>
      <c r="D104" s="252">
        <f>+B104*C104</f>
        <v>3.2</v>
      </c>
      <c r="E104" s="252"/>
      <c r="F104" s="251"/>
      <c r="G104" s="253">
        <v>2</v>
      </c>
      <c r="H104" s="252"/>
      <c r="I104" s="254"/>
      <c r="J104" s="255">
        <v>25</v>
      </c>
      <c r="K104" s="255">
        <f>+J104*0.736</f>
        <v>18.399999999999999</v>
      </c>
    </row>
    <row r="105" spans="1:11" x14ac:dyDescent="0.25">
      <c r="A105" s="250" t="s">
        <v>924</v>
      </c>
      <c r="B105" s="269">
        <v>6</v>
      </c>
      <c r="C105" s="252">
        <v>0.8</v>
      </c>
      <c r="D105" s="252">
        <f>+B105*C105</f>
        <v>4.8000000000000007</v>
      </c>
      <c r="E105" s="252"/>
      <c r="F105" s="251"/>
      <c r="G105" s="253">
        <v>2</v>
      </c>
      <c r="H105" s="252"/>
      <c r="I105" s="254"/>
      <c r="J105" s="255">
        <v>35</v>
      </c>
      <c r="K105" s="255">
        <f>+J105*0.736</f>
        <v>25.759999999999998</v>
      </c>
    </row>
    <row r="106" spans="1:11" x14ac:dyDescent="0.25">
      <c r="A106" s="256"/>
      <c r="B106" s="269"/>
      <c r="C106" s="252"/>
      <c r="D106" s="252"/>
      <c r="E106" s="252"/>
      <c r="F106" s="251"/>
      <c r="G106" s="253"/>
      <c r="H106" s="252"/>
      <c r="I106" s="254"/>
      <c r="J106" s="255"/>
      <c r="K106" s="255"/>
    </row>
    <row r="107" spans="1:11" x14ac:dyDescent="0.25">
      <c r="A107" s="257" t="s">
        <v>948</v>
      </c>
      <c r="B107" s="251"/>
      <c r="C107" s="252"/>
      <c r="D107" s="252"/>
      <c r="E107" s="252"/>
      <c r="F107" s="251"/>
      <c r="G107" s="253"/>
      <c r="H107" s="252"/>
      <c r="I107" s="254"/>
      <c r="J107" s="255"/>
      <c r="K107" s="255"/>
    </row>
    <row r="108" spans="1:11" x14ac:dyDescent="0.25">
      <c r="A108" s="250" t="s">
        <v>949</v>
      </c>
      <c r="B108" s="251"/>
      <c r="C108" s="252"/>
      <c r="D108" s="252"/>
      <c r="E108" s="252"/>
      <c r="F108" s="251"/>
      <c r="G108" s="253">
        <v>5</v>
      </c>
      <c r="H108" s="252"/>
      <c r="I108" s="254"/>
      <c r="J108" s="255">
        <v>20</v>
      </c>
      <c r="K108" s="255">
        <f>+J108*0.736</f>
        <v>14.719999999999999</v>
      </c>
    </row>
    <row r="109" spans="1:11" x14ac:dyDescent="0.25">
      <c r="A109" s="250" t="s">
        <v>928</v>
      </c>
      <c r="B109" s="251"/>
      <c r="C109" s="252"/>
      <c r="D109" s="252"/>
      <c r="E109" s="252"/>
      <c r="F109" s="251"/>
      <c r="G109" s="253">
        <v>5</v>
      </c>
      <c r="H109" s="252"/>
      <c r="I109" s="254"/>
      <c r="J109" s="255">
        <v>30</v>
      </c>
      <c r="K109" s="255">
        <f>+J109*0.736</f>
        <v>22.08</v>
      </c>
    </row>
    <row r="110" spans="1:11" x14ac:dyDescent="0.25">
      <c r="A110" s="250" t="s">
        <v>929</v>
      </c>
      <c r="B110" s="251"/>
      <c r="C110" s="252"/>
      <c r="D110" s="252"/>
      <c r="E110" s="252"/>
      <c r="F110" s="251"/>
      <c r="G110" s="253">
        <v>5</v>
      </c>
      <c r="H110" s="252"/>
      <c r="I110" s="254"/>
      <c r="J110" s="255">
        <v>40</v>
      </c>
      <c r="K110" s="255">
        <f>+J110*0.736</f>
        <v>29.439999999999998</v>
      </c>
    </row>
    <row r="111" spans="1:11" x14ac:dyDescent="0.25">
      <c r="A111" s="256"/>
      <c r="B111" s="251"/>
      <c r="C111" s="252"/>
      <c r="D111" s="252"/>
      <c r="E111" s="252"/>
      <c r="F111" s="251"/>
      <c r="G111" s="269"/>
      <c r="H111" s="252"/>
      <c r="I111" s="254"/>
      <c r="J111" s="255"/>
      <c r="K111" s="255"/>
    </row>
    <row r="112" spans="1:11" x14ac:dyDescent="0.25">
      <c r="A112" s="250" t="s">
        <v>950</v>
      </c>
      <c r="B112" s="251"/>
      <c r="C112" s="252"/>
      <c r="D112" s="252"/>
      <c r="E112" s="252"/>
      <c r="F112" s="251"/>
      <c r="G112" s="253">
        <v>5</v>
      </c>
      <c r="H112" s="252"/>
      <c r="I112" s="254"/>
      <c r="J112" s="255">
        <v>50</v>
      </c>
      <c r="K112" s="255">
        <f>+J112*0.736</f>
        <v>36.799999999999997</v>
      </c>
    </row>
    <row r="113" spans="1:11" x14ac:dyDescent="0.25">
      <c r="A113" s="250" t="s">
        <v>951</v>
      </c>
      <c r="B113" s="251"/>
      <c r="C113" s="252"/>
      <c r="D113" s="252"/>
      <c r="E113" s="252"/>
      <c r="F113" s="251"/>
      <c r="G113" s="253">
        <v>5</v>
      </c>
      <c r="H113" s="252"/>
      <c r="I113" s="254"/>
      <c r="J113" s="255">
        <v>55</v>
      </c>
      <c r="K113" s="255">
        <f>+J113*0.736</f>
        <v>40.479999999999997</v>
      </c>
    </row>
    <row r="114" spans="1:11" x14ac:dyDescent="0.25">
      <c r="A114" s="250" t="s">
        <v>932</v>
      </c>
      <c r="B114" s="251"/>
      <c r="C114" s="252"/>
      <c r="D114" s="252"/>
      <c r="E114" s="252"/>
      <c r="F114" s="251"/>
      <c r="G114" s="253">
        <v>5</v>
      </c>
      <c r="H114" s="252"/>
      <c r="I114" s="254"/>
      <c r="J114" s="255">
        <v>60</v>
      </c>
      <c r="K114" s="255">
        <f>+J114*0.736</f>
        <v>44.16</v>
      </c>
    </row>
    <row r="115" spans="1:11" x14ac:dyDescent="0.25">
      <c r="A115" s="256"/>
      <c r="B115" s="251"/>
      <c r="C115" s="252"/>
      <c r="D115" s="252"/>
      <c r="E115" s="252"/>
      <c r="F115" s="251"/>
      <c r="G115" s="269"/>
      <c r="H115" s="252"/>
      <c r="I115" s="254"/>
      <c r="J115" s="255"/>
      <c r="K115" s="255"/>
    </row>
    <row r="116" spans="1:11" x14ac:dyDescent="0.25">
      <c r="A116" s="257" t="s">
        <v>952</v>
      </c>
      <c r="B116" s="251"/>
      <c r="C116" s="252"/>
      <c r="D116" s="252"/>
      <c r="E116" s="252"/>
      <c r="F116" s="251"/>
      <c r="G116" s="253"/>
      <c r="H116" s="252"/>
      <c r="I116" s="254"/>
      <c r="J116" s="255"/>
      <c r="K116" s="255"/>
    </row>
    <row r="117" spans="1:11" x14ac:dyDescent="0.25">
      <c r="A117" s="250" t="s">
        <v>953</v>
      </c>
      <c r="B117" s="251"/>
      <c r="C117" s="252"/>
      <c r="D117" s="252">
        <v>1.5</v>
      </c>
      <c r="E117" s="252"/>
      <c r="F117" s="251"/>
      <c r="G117" s="253">
        <v>2</v>
      </c>
      <c r="H117" s="252"/>
      <c r="I117" s="254"/>
      <c r="J117" s="255">
        <v>15</v>
      </c>
      <c r="K117" s="255">
        <f t="shared" ref="K117:K129" si="8">+J117*0.736</f>
        <v>11.04</v>
      </c>
    </row>
    <row r="118" spans="1:11" x14ac:dyDescent="0.25">
      <c r="A118" s="256"/>
      <c r="B118" s="251"/>
      <c r="C118" s="252"/>
      <c r="D118" s="252">
        <v>1.8</v>
      </c>
      <c r="E118" s="252"/>
      <c r="F118" s="251"/>
      <c r="G118" s="253">
        <v>2</v>
      </c>
      <c r="H118" s="252"/>
      <c r="I118" s="254"/>
      <c r="J118" s="255">
        <v>20</v>
      </c>
      <c r="K118" s="255">
        <f t="shared" si="8"/>
        <v>14.719999999999999</v>
      </c>
    </row>
    <row r="119" spans="1:11" x14ac:dyDescent="0.25">
      <c r="A119" s="256"/>
      <c r="B119" s="251"/>
      <c r="C119" s="252"/>
      <c r="D119" s="269"/>
      <c r="E119" s="269"/>
      <c r="F119" s="269"/>
      <c r="G119" s="269"/>
      <c r="H119" s="269"/>
      <c r="I119" s="269"/>
      <c r="J119" s="270"/>
      <c r="K119" s="270"/>
    </row>
    <row r="120" spans="1:11" ht="21" x14ac:dyDescent="0.25">
      <c r="A120" s="250" t="s">
        <v>954</v>
      </c>
      <c r="B120" s="251"/>
      <c r="C120" s="252"/>
      <c r="D120" s="252">
        <v>2</v>
      </c>
      <c r="E120" s="252"/>
      <c r="F120" s="251"/>
      <c r="G120" s="253">
        <v>2</v>
      </c>
      <c r="H120" s="252"/>
      <c r="I120" s="254"/>
      <c r="J120" s="255">
        <v>30</v>
      </c>
      <c r="K120" s="255">
        <f t="shared" si="8"/>
        <v>22.08</v>
      </c>
    </row>
    <row r="121" spans="1:11" x14ac:dyDescent="0.25">
      <c r="A121" s="256"/>
      <c r="B121" s="251"/>
      <c r="C121" s="252"/>
      <c r="D121" s="252">
        <v>2.5</v>
      </c>
      <c r="E121" s="252"/>
      <c r="F121" s="251"/>
      <c r="G121" s="253">
        <v>2</v>
      </c>
      <c r="H121" s="252"/>
      <c r="I121" s="254"/>
      <c r="J121" s="255">
        <v>40</v>
      </c>
      <c r="K121" s="255">
        <f t="shared" si="8"/>
        <v>29.439999999999998</v>
      </c>
    </row>
    <row r="122" spans="1:11" x14ac:dyDescent="0.25">
      <c r="A122" s="256"/>
      <c r="B122" s="251"/>
      <c r="C122" s="252"/>
      <c r="D122" s="252">
        <v>3</v>
      </c>
      <c r="E122" s="252"/>
      <c r="F122" s="251"/>
      <c r="G122" s="253">
        <v>2</v>
      </c>
      <c r="H122" s="252"/>
      <c r="I122" s="254"/>
      <c r="J122" s="255">
        <v>50</v>
      </c>
      <c r="K122" s="255">
        <f t="shared" si="8"/>
        <v>36.799999999999997</v>
      </c>
    </row>
    <row r="123" spans="1:11" x14ac:dyDescent="0.25">
      <c r="A123" s="256"/>
      <c r="B123" s="251"/>
      <c r="C123" s="252"/>
      <c r="D123" s="269"/>
      <c r="E123" s="269"/>
      <c r="F123" s="269"/>
      <c r="G123" s="269"/>
      <c r="H123" s="269"/>
      <c r="I123" s="269"/>
      <c r="J123" s="270"/>
      <c r="K123" s="270"/>
    </row>
    <row r="124" spans="1:11" x14ac:dyDescent="0.25">
      <c r="A124" s="250" t="s">
        <v>955</v>
      </c>
      <c r="B124" s="251"/>
      <c r="C124" s="252"/>
      <c r="D124" s="252">
        <v>1.6</v>
      </c>
      <c r="E124" s="252"/>
      <c r="F124" s="251"/>
      <c r="G124" s="253">
        <v>2</v>
      </c>
      <c r="H124" s="252"/>
      <c r="I124" s="254"/>
      <c r="J124" s="255">
        <v>30</v>
      </c>
      <c r="K124" s="255">
        <f t="shared" si="8"/>
        <v>22.08</v>
      </c>
    </row>
    <row r="125" spans="1:11" x14ac:dyDescent="0.25">
      <c r="A125" s="250"/>
      <c r="B125" s="251"/>
      <c r="C125" s="252"/>
      <c r="D125" s="252">
        <v>2</v>
      </c>
      <c r="E125" s="252"/>
      <c r="F125" s="251"/>
      <c r="G125" s="253">
        <v>2</v>
      </c>
      <c r="H125" s="252"/>
      <c r="I125" s="254"/>
      <c r="J125" s="255">
        <v>40</v>
      </c>
      <c r="K125" s="255">
        <f t="shared" si="8"/>
        <v>29.439999999999998</v>
      </c>
    </row>
    <row r="126" spans="1:11" x14ac:dyDescent="0.25">
      <c r="A126" s="250"/>
      <c r="B126" s="251"/>
      <c r="C126" s="252"/>
      <c r="D126" s="252">
        <v>2.4</v>
      </c>
      <c r="E126" s="252"/>
      <c r="F126" s="251"/>
      <c r="G126" s="253">
        <v>2</v>
      </c>
      <c r="H126" s="252"/>
      <c r="I126" s="254"/>
      <c r="J126" s="255">
        <v>50</v>
      </c>
      <c r="K126" s="255">
        <f t="shared" si="8"/>
        <v>36.799999999999997</v>
      </c>
    </row>
    <row r="127" spans="1:11" x14ac:dyDescent="0.25">
      <c r="A127" s="250"/>
      <c r="B127" s="251"/>
      <c r="C127" s="252"/>
      <c r="D127" s="269"/>
      <c r="E127" s="269"/>
      <c r="F127" s="269"/>
      <c r="G127" s="269"/>
      <c r="H127" s="269"/>
      <c r="I127" s="269"/>
      <c r="J127" s="270"/>
      <c r="K127" s="270"/>
    </row>
    <row r="128" spans="1:11" ht="21" x14ac:dyDescent="0.25">
      <c r="A128" s="250" t="s">
        <v>956</v>
      </c>
      <c r="B128" s="251"/>
      <c r="C128" s="252"/>
      <c r="D128" s="252">
        <v>1.8</v>
      </c>
      <c r="E128" s="252"/>
      <c r="F128" s="251"/>
      <c r="G128" s="253">
        <v>2</v>
      </c>
      <c r="H128" s="252"/>
      <c r="I128" s="254"/>
      <c r="J128" s="255">
        <v>35</v>
      </c>
      <c r="K128" s="255">
        <f t="shared" si="8"/>
        <v>25.759999999999998</v>
      </c>
    </row>
    <row r="129" spans="1:11" x14ac:dyDescent="0.25">
      <c r="A129" s="250" t="s">
        <v>957</v>
      </c>
      <c r="B129" s="251"/>
      <c r="C129" s="252"/>
      <c r="D129" s="252">
        <v>3.6</v>
      </c>
      <c r="E129" s="252"/>
      <c r="F129" s="251"/>
      <c r="G129" s="253">
        <v>2</v>
      </c>
      <c r="H129" s="252"/>
      <c r="I129" s="254"/>
      <c r="J129" s="255">
        <v>70</v>
      </c>
      <c r="K129" s="255">
        <f t="shared" si="8"/>
        <v>51.519999999999996</v>
      </c>
    </row>
    <row r="130" spans="1:11" x14ac:dyDescent="0.25">
      <c r="A130" s="250"/>
      <c r="B130" s="251"/>
      <c r="C130" s="252"/>
      <c r="D130" s="269"/>
      <c r="E130" s="269"/>
      <c r="F130" s="269"/>
      <c r="G130" s="269"/>
      <c r="H130" s="269"/>
      <c r="I130" s="269"/>
      <c r="J130" s="270"/>
      <c r="K130" s="270"/>
    </row>
    <row r="131" spans="1:11" x14ac:dyDescent="0.25">
      <c r="A131" s="257" t="s">
        <v>958</v>
      </c>
      <c r="B131" s="251"/>
      <c r="C131" s="252"/>
      <c r="D131" s="252"/>
      <c r="E131" s="252"/>
      <c r="F131" s="251"/>
      <c r="G131" s="253"/>
      <c r="H131" s="252"/>
      <c r="I131" s="254"/>
      <c r="J131" s="255"/>
      <c r="K131" s="255"/>
    </row>
    <row r="132" spans="1:11" x14ac:dyDescent="0.25">
      <c r="A132" s="250" t="s">
        <v>959</v>
      </c>
      <c r="B132" s="262"/>
      <c r="C132" s="263"/>
      <c r="D132" s="252">
        <v>1.8</v>
      </c>
      <c r="E132" s="252"/>
      <c r="F132" s="251"/>
      <c r="G132" s="253">
        <v>3</v>
      </c>
      <c r="H132" s="252"/>
      <c r="I132" s="254"/>
      <c r="J132" s="255">
        <v>25</v>
      </c>
      <c r="K132" s="255">
        <f>+J132*0.736</f>
        <v>18.399999999999999</v>
      </c>
    </row>
    <row r="133" spans="1:11" x14ac:dyDescent="0.25">
      <c r="A133" s="256"/>
      <c r="B133" s="251"/>
      <c r="C133" s="252"/>
      <c r="D133" s="252">
        <v>2.2000000000000002</v>
      </c>
      <c r="E133" s="252"/>
      <c r="F133" s="251"/>
      <c r="G133" s="253">
        <v>3</v>
      </c>
      <c r="H133" s="252"/>
      <c r="I133" s="254"/>
      <c r="J133" s="255">
        <v>30</v>
      </c>
      <c r="K133" s="255">
        <f>+J133*0.736</f>
        <v>22.08</v>
      </c>
    </row>
    <row r="134" spans="1:11" x14ac:dyDescent="0.25">
      <c r="A134" s="256"/>
      <c r="B134" s="251"/>
      <c r="C134" s="252"/>
      <c r="D134" s="269"/>
      <c r="E134" s="269"/>
      <c r="F134" s="269"/>
      <c r="G134" s="269"/>
      <c r="H134" s="269"/>
      <c r="I134" s="269"/>
      <c r="J134" s="270"/>
      <c r="K134" s="270"/>
    </row>
    <row r="135" spans="1:11" x14ac:dyDescent="0.25">
      <c r="A135" s="250" t="s">
        <v>960</v>
      </c>
      <c r="B135" s="251"/>
      <c r="C135" s="252"/>
      <c r="D135" s="252">
        <v>3</v>
      </c>
      <c r="E135" s="252"/>
      <c r="F135" s="251"/>
      <c r="G135" s="253">
        <v>3</v>
      </c>
      <c r="H135" s="252"/>
      <c r="I135" s="254"/>
      <c r="J135" s="255">
        <v>45</v>
      </c>
      <c r="K135" s="255">
        <f>+J135*0.736</f>
        <v>33.119999999999997</v>
      </c>
    </row>
    <row r="136" spans="1:11" x14ac:dyDescent="0.25">
      <c r="A136" s="256"/>
      <c r="B136" s="251"/>
      <c r="C136" s="252"/>
      <c r="D136" s="269"/>
      <c r="E136" s="269"/>
      <c r="F136" s="269"/>
      <c r="G136" s="269"/>
      <c r="H136" s="269"/>
      <c r="I136" s="269"/>
      <c r="J136" s="270"/>
      <c r="K136" s="270"/>
    </row>
    <row r="137" spans="1:11" x14ac:dyDescent="0.25">
      <c r="A137" s="257" t="s">
        <v>961</v>
      </c>
      <c r="B137" s="251"/>
      <c r="C137" s="252"/>
      <c r="D137" s="252"/>
      <c r="E137" s="252"/>
      <c r="F137" s="251"/>
      <c r="G137" s="253"/>
      <c r="H137" s="252"/>
      <c r="I137" s="254"/>
      <c r="J137" s="255"/>
      <c r="K137" s="255"/>
    </row>
    <row r="138" spans="1:11" ht="21" x14ac:dyDescent="0.25">
      <c r="A138" s="250" t="s">
        <v>962</v>
      </c>
      <c r="B138" s="262"/>
      <c r="C138" s="263"/>
      <c r="D138" s="252">
        <v>1.3</v>
      </c>
      <c r="E138" s="252"/>
      <c r="F138" s="251"/>
      <c r="G138" s="253">
        <v>3</v>
      </c>
      <c r="H138" s="252"/>
      <c r="I138" s="254"/>
      <c r="J138" s="255">
        <v>40</v>
      </c>
      <c r="K138" s="255">
        <f t="shared" ref="K138:K145" si="9">+J138*0.736</f>
        <v>29.439999999999998</v>
      </c>
    </row>
    <row r="139" spans="1:11" x14ac:dyDescent="0.25">
      <c r="A139" s="250"/>
      <c r="B139" s="251"/>
      <c r="C139" s="252"/>
      <c r="D139" s="252">
        <v>1.5</v>
      </c>
      <c r="E139" s="252"/>
      <c r="F139" s="251"/>
      <c r="G139" s="253">
        <v>3</v>
      </c>
      <c r="H139" s="252"/>
      <c r="I139" s="254"/>
      <c r="J139" s="255">
        <v>45</v>
      </c>
      <c r="K139" s="255">
        <f t="shared" si="9"/>
        <v>33.119999999999997</v>
      </c>
    </row>
    <row r="140" spans="1:11" x14ac:dyDescent="0.25">
      <c r="A140" s="250"/>
      <c r="B140" s="251"/>
      <c r="C140" s="252"/>
      <c r="D140" s="252">
        <v>1.7</v>
      </c>
      <c r="E140" s="252"/>
      <c r="F140" s="251"/>
      <c r="G140" s="253">
        <v>3</v>
      </c>
      <c r="H140" s="252"/>
      <c r="I140" s="254"/>
      <c r="J140" s="255">
        <v>50</v>
      </c>
      <c r="K140" s="255">
        <f t="shared" si="9"/>
        <v>36.799999999999997</v>
      </c>
    </row>
    <row r="141" spans="1:11" x14ac:dyDescent="0.25">
      <c r="A141" s="250"/>
      <c r="B141" s="251"/>
      <c r="C141" s="252"/>
      <c r="D141" s="269"/>
      <c r="E141" s="269"/>
      <c r="F141" s="269"/>
      <c r="G141" s="269"/>
      <c r="H141" s="269"/>
      <c r="I141" s="269"/>
      <c r="J141" s="270"/>
      <c r="K141" s="270"/>
    </row>
    <row r="142" spans="1:11" x14ac:dyDescent="0.25">
      <c r="A142" s="250" t="s">
        <v>963</v>
      </c>
      <c r="B142" s="251"/>
      <c r="C142" s="252"/>
      <c r="D142" s="252">
        <v>1.3</v>
      </c>
      <c r="E142" s="252"/>
      <c r="F142" s="251"/>
      <c r="G142" s="253">
        <v>3</v>
      </c>
      <c r="H142" s="252"/>
      <c r="I142" s="254"/>
      <c r="J142" s="255">
        <v>50</v>
      </c>
      <c r="K142" s="255">
        <f t="shared" si="9"/>
        <v>36.799999999999997</v>
      </c>
    </row>
    <row r="143" spans="1:11" x14ac:dyDescent="0.25">
      <c r="A143" s="250"/>
      <c r="B143" s="251"/>
      <c r="C143" s="252"/>
      <c r="D143" s="252">
        <v>1.5</v>
      </c>
      <c r="E143" s="252"/>
      <c r="F143" s="251"/>
      <c r="G143" s="253">
        <v>3</v>
      </c>
      <c r="H143" s="252"/>
      <c r="I143" s="254"/>
      <c r="J143" s="255">
        <v>60</v>
      </c>
      <c r="K143" s="255">
        <f t="shared" si="9"/>
        <v>44.16</v>
      </c>
    </row>
    <row r="144" spans="1:11" x14ac:dyDescent="0.25">
      <c r="A144" s="250"/>
      <c r="B144" s="251"/>
      <c r="C144" s="252"/>
      <c r="D144" s="269"/>
      <c r="E144" s="269"/>
      <c r="F144" s="269"/>
      <c r="G144" s="269"/>
      <c r="H144" s="269"/>
      <c r="I144" s="269"/>
      <c r="J144" s="270"/>
      <c r="K144" s="270"/>
    </row>
    <row r="145" spans="1:11" x14ac:dyDescent="0.25">
      <c r="A145" s="250" t="s">
        <v>964</v>
      </c>
      <c r="B145" s="251"/>
      <c r="C145" s="252"/>
      <c r="D145" s="252">
        <v>1.5</v>
      </c>
      <c r="E145" s="252"/>
      <c r="F145" s="251"/>
      <c r="G145" s="253">
        <v>3</v>
      </c>
      <c r="H145" s="252"/>
      <c r="I145" s="254"/>
      <c r="J145" s="255">
        <v>60</v>
      </c>
      <c r="K145" s="255">
        <f t="shared" si="9"/>
        <v>44.16</v>
      </c>
    </row>
    <row r="146" spans="1:11" x14ac:dyDescent="0.25">
      <c r="A146" s="256"/>
      <c r="B146" s="251"/>
      <c r="C146" s="252"/>
      <c r="D146" s="269"/>
      <c r="E146" s="269"/>
      <c r="F146" s="269"/>
      <c r="G146" s="269"/>
      <c r="H146" s="269"/>
      <c r="I146" s="269"/>
      <c r="J146" s="270"/>
      <c r="K146" s="270"/>
    </row>
    <row r="147" spans="1:11" x14ac:dyDescent="0.25">
      <c r="A147" s="257" t="s">
        <v>965</v>
      </c>
      <c r="B147" s="251"/>
      <c r="C147" s="252"/>
      <c r="D147" s="252"/>
      <c r="E147" s="252"/>
      <c r="F147" s="251"/>
      <c r="G147" s="253"/>
      <c r="H147" s="252"/>
      <c r="I147" s="254"/>
      <c r="J147" s="255"/>
      <c r="K147" s="255"/>
    </row>
    <row r="148" spans="1:11" x14ac:dyDescent="0.25">
      <c r="A148" s="250" t="s">
        <v>966</v>
      </c>
      <c r="B148" s="251"/>
      <c r="C148" s="252"/>
      <c r="D148" s="252">
        <v>1.2</v>
      </c>
      <c r="E148" s="252"/>
      <c r="F148" s="251"/>
      <c r="G148" s="253">
        <v>2</v>
      </c>
      <c r="H148" s="252"/>
      <c r="I148" s="254"/>
      <c r="J148" s="255">
        <v>40</v>
      </c>
      <c r="K148" s="255">
        <f t="shared" ref="K148:K158" si="10">+J148*0.736</f>
        <v>29.439999999999998</v>
      </c>
    </row>
    <row r="149" spans="1:11" x14ac:dyDescent="0.25">
      <c r="A149" s="250"/>
      <c r="B149" s="251"/>
      <c r="C149" s="252"/>
      <c r="D149" s="252">
        <v>1.4</v>
      </c>
      <c r="E149" s="252"/>
      <c r="F149" s="251"/>
      <c r="G149" s="253">
        <v>2</v>
      </c>
      <c r="H149" s="252"/>
      <c r="I149" s="254"/>
      <c r="J149" s="255">
        <v>45</v>
      </c>
      <c r="K149" s="255">
        <f t="shared" si="10"/>
        <v>33.119999999999997</v>
      </c>
    </row>
    <row r="150" spans="1:11" x14ac:dyDescent="0.25">
      <c r="A150" s="250"/>
      <c r="B150" s="251"/>
      <c r="C150" s="252"/>
      <c r="D150" s="269"/>
      <c r="E150" s="269"/>
      <c r="F150" s="269"/>
      <c r="G150" s="269"/>
      <c r="H150" s="269"/>
      <c r="I150" s="269"/>
      <c r="J150" s="270"/>
      <c r="K150" s="270"/>
    </row>
    <row r="151" spans="1:11" x14ac:dyDescent="0.25">
      <c r="A151" s="250" t="s">
        <v>967</v>
      </c>
      <c r="B151" s="251"/>
      <c r="C151" s="252"/>
      <c r="D151" s="252">
        <v>1.6</v>
      </c>
      <c r="E151" s="252"/>
      <c r="F151" s="251"/>
      <c r="G151" s="253">
        <v>2</v>
      </c>
      <c r="H151" s="252"/>
      <c r="I151" s="254"/>
      <c r="J151" s="255">
        <v>50</v>
      </c>
      <c r="K151" s="255">
        <f t="shared" si="10"/>
        <v>36.799999999999997</v>
      </c>
    </row>
    <row r="152" spans="1:11" x14ac:dyDescent="0.25">
      <c r="A152" s="256"/>
      <c r="B152" s="251"/>
      <c r="C152" s="252"/>
      <c r="D152" s="252">
        <v>1.8</v>
      </c>
      <c r="E152" s="252"/>
      <c r="F152" s="251"/>
      <c r="G152" s="253">
        <v>2</v>
      </c>
      <c r="H152" s="252"/>
      <c r="I152" s="254"/>
      <c r="J152" s="255">
        <v>60</v>
      </c>
      <c r="K152" s="255">
        <f t="shared" si="10"/>
        <v>44.16</v>
      </c>
    </row>
    <row r="153" spans="1:11" x14ac:dyDescent="0.25">
      <c r="A153" s="256"/>
      <c r="B153" s="251"/>
      <c r="C153" s="252"/>
      <c r="D153" s="269"/>
      <c r="E153" s="269"/>
      <c r="F153" s="269"/>
      <c r="G153" s="269"/>
      <c r="H153" s="269"/>
      <c r="I153" s="269"/>
      <c r="J153" s="270"/>
      <c r="K153" s="270"/>
    </row>
    <row r="154" spans="1:11" x14ac:dyDescent="0.25">
      <c r="A154" s="250" t="s">
        <v>968</v>
      </c>
      <c r="B154" s="251">
        <v>1</v>
      </c>
      <c r="C154" s="252">
        <v>0.8</v>
      </c>
      <c r="D154" s="252">
        <f>+B154*C154</f>
        <v>0.8</v>
      </c>
      <c r="E154" s="252"/>
      <c r="F154" s="251"/>
      <c r="G154" s="253">
        <v>2</v>
      </c>
      <c r="H154" s="252"/>
      <c r="I154" s="254"/>
      <c r="J154" s="255">
        <v>40</v>
      </c>
      <c r="K154" s="255">
        <f t="shared" si="10"/>
        <v>29.439999999999998</v>
      </c>
    </row>
    <row r="155" spans="1:11" x14ac:dyDescent="0.25">
      <c r="A155" s="250" t="s">
        <v>936</v>
      </c>
      <c r="B155" s="251">
        <v>2</v>
      </c>
      <c r="C155" s="252">
        <v>0.8</v>
      </c>
      <c r="D155" s="252">
        <f>+B155*C155</f>
        <v>1.6</v>
      </c>
      <c r="E155" s="252"/>
      <c r="F155" s="251"/>
      <c r="G155" s="253">
        <v>2</v>
      </c>
      <c r="H155" s="252"/>
      <c r="I155" s="254"/>
      <c r="J155" s="255">
        <v>60</v>
      </c>
      <c r="K155" s="255">
        <f t="shared" si="10"/>
        <v>44.16</v>
      </c>
    </row>
    <row r="156" spans="1:11" x14ac:dyDescent="0.25">
      <c r="A156" s="250" t="s">
        <v>921</v>
      </c>
      <c r="B156" s="251">
        <v>3</v>
      </c>
      <c r="C156" s="252">
        <v>0.8</v>
      </c>
      <c r="D156" s="252">
        <f>+B156*C156</f>
        <v>2.4000000000000004</v>
      </c>
      <c r="E156" s="252"/>
      <c r="F156" s="251"/>
      <c r="G156" s="253">
        <v>2</v>
      </c>
      <c r="H156" s="252"/>
      <c r="I156" s="254"/>
      <c r="J156" s="255">
        <v>80</v>
      </c>
      <c r="K156" s="255">
        <f t="shared" si="10"/>
        <v>58.879999999999995</v>
      </c>
    </row>
    <row r="157" spans="1:11" x14ac:dyDescent="0.25">
      <c r="A157" s="256"/>
      <c r="B157" s="269"/>
      <c r="C157" s="269"/>
      <c r="D157" s="269"/>
      <c r="E157" s="269"/>
      <c r="F157" s="269"/>
      <c r="G157" s="269"/>
      <c r="H157" s="269"/>
      <c r="I157" s="269"/>
      <c r="J157" s="270"/>
      <c r="K157" s="270"/>
    </row>
    <row r="158" spans="1:11" x14ac:dyDescent="0.25">
      <c r="A158" s="250" t="s">
        <v>969</v>
      </c>
      <c r="B158" s="251"/>
      <c r="C158" s="252"/>
      <c r="D158" s="252"/>
      <c r="E158" s="252"/>
      <c r="F158" s="251"/>
      <c r="G158" s="253"/>
      <c r="H158" s="252"/>
      <c r="I158" s="254"/>
      <c r="J158" s="255">
        <v>45</v>
      </c>
      <c r="K158" s="255">
        <f t="shared" si="10"/>
        <v>33.119999999999997</v>
      </c>
    </row>
    <row r="159" spans="1:11" x14ac:dyDescent="0.25">
      <c r="A159" s="256"/>
      <c r="B159" s="251"/>
      <c r="C159" s="252"/>
      <c r="D159" s="252"/>
      <c r="E159" s="252"/>
      <c r="F159" s="251"/>
      <c r="G159" s="253"/>
      <c r="H159" s="252"/>
      <c r="I159" s="254"/>
      <c r="J159" s="270"/>
      <c r="K159" s="270"/>
    </row>
    <row r="160" spans="1:11" x14ac:dyDescent="0.25">
      <c r="A160" s="257" t="s">
        <v>970</v>
      </c>
      <c r="B160" s="251"/>
      <c r="C160" s="252"/>
      <c r="D160" s="252"/>
      <c r="E160" s="252"/>
      <c r="F160" s="251"/>
      <c r="G160" s="253"/>
      <c r="H160" s="252"/>
      <c r="I160" s="254"/>
      <c r="J160" s="255"/>
      <c r="K160" s="255"/>
    </row>
    <row r="161" spans="1:11" x14ac:dyDescent="0.25">
      <c r="A161" s="250" t="s">
        <v>971</v>
      </c>
      <c r="B161" s="251"/>
      <c r="C161" s="252"/>
      <c r="D161" s="252"/>
      <c r="E161" s="252"/>
      <c r="F161" s="251"/>
      <c r="G161" s="253">
        <v>2</v>
      </c>
      <c r="H161" s="252"/>
      <c r="I161" s="254"/>
      <c r="J161" s="255">
        <v>60</v>
      </c>
      <c r="K161" s="255">
        <f>+J161*0.736</f>
        <v>44.16</v>
      </c>
    </row>
    <row r="162" spans="1:11" x14ac:dyDescent="0.25">
      <c r="A162" s="250" t="s">
        <v>972</v>
      </c>
      <c r="B162" s="251"/>
      <c r="C162" s="252"/>
      <c r="D162" s="252"/>
      <c r="E162" s="252"/>
      <c r="F162" s="251"/>
      <c r="G162" s="253">
        <v>2</v>
      </c>
      <c r="H162" s="252"/>
      <c r="I162" s="254"/>
      <c r="J162" s="255">
        <v>80</v>
      </c>
      <c r="K162" s="255">
        <f>+J162*0.736</f>
        <v>58.879999999999995</v>
      </c>
    </row>
    <row r="163" spans="1:11" x14ac:dyDescent="0.25">
      <c r="A163" s="256"/>
      <c r="B163" s="251"/>
      <c r="C163" s="252"/>
      <c r="D163" s="252"/>
      <c r="E163" s="252"/>
      <c r="F163" s="251"/>
      <c r="G163" s="269"/>
      <c r="H163" s="252"/>
      <c r="I163" s="254"/>
      <c r="J163" s="255"/>
      <c r="K163" s="255"/>
    </row>
    <row r="164" spans="1:11" x14ac:dyDescent="0.25">
      <c r="A164" s="257" t="s">
        <v>973</v>
      </c>
      <c r="B164" s="251"/>
      <c r="C164" s="252"/>
      <c r="D164" s="252"/>
      <c r="E164" s="252"/>
      <c r="F164" s="251"/>
      <c r="G164" s="253"/>
      <c r="H164" s="252"/>
      <c r="I164" s="254"/>
      <c r="J164" s="255"/>
      <c r="K164" s="255"/>
    </row>
    <row r="165" spans="1:11" x14ac:dyDescent="0.25">
      <c r="A165" s="250" t="s">
        <v>974</v>
      </c>
      <c r="B165" s="251"/>
      <c r="C165" s="252"/>
      <c r="D165" s="252"/>
      <c r="E165" s="252"/>
      <c r="F165" s="251"/>
      <c r="G165" s="253">
        <v>2</v>
      </c>
      <c r="H165" s="252"/>
      <c r="I165" s="254"/>
      <c r="J165" s="255">
        <v>35</v>
      </c>
      <c r="K165" s="255">
        <f>+J165*0.736</f>
        <v>25.759999999999998</v>
      </c>
    </row>
    <row r="166" spans="1:11" x14ac:dyDescent="0.25">
      <c r="A166" s="256"/>
      <c r="B166" s="251"/>
      <c r="C166" s="252"/>
      <c r="D166" s="252"/>
      <c r="E166" s="252"/>
      <c r="F166" s="251"/>
      <c r="G166" s="253"/>
      <c r="H166" s="252"/>
      <c r="I166" s="254"/>
      <c r="J166" s="255"/>
      <c r="K166" s="255"/>
    </row>
    <row r="167" spans="1:11" x14ac:dyDescent="0.25">
      <c r="A167" s="257" t="s">
        <v>975</v>
      </c>
      <c r="B167" s="251"/>
      <c r="C167" s="252"/>
      <c r="D167" s="252"/>
      <c r="E167" s="252"/>
      <c r="F167" s="251"/>
      <c r="G167" s="253"/>
      <c r="H167" s="252"/>
      <c r="I167" s="254"/>
      <c r="J167" s="255"/>
      <c r="K167" s="255"/>
    </row>
    <row r="168" spans="1:11" x14ac:dyDescent="0.25">
      <c r="A168" s="250" t="s">
        <v>976</v>
      </c>
      <c r="B168" s="262"/>
      <c r="C168" s="263"/>
      <c r="D168" s="252">
        <v>1.2</v>
      </c>
      <c r="E168" s="269"/>
      <c r="F168" s="251"/>
      <c r="G168" s="253">
        <v>2</v>
      </c>
      <c r="H168" s="252"/>
      <c r="I168" s="254"/>
      <c r="J168" s="255">
        <v>30</v>
      </c>
      <c r="K168" s="255">
        <f>+J168*0.736</f>
        <v>22.08</v>
      </c>
    </row>
    <row r="169" spans="1:11" x14ac:dyDescent="0.25">
      <c r="A169" s="256"/>
      <c r="B169" s="251"/>
      <c r="C169" s="252"/>
      <c r="D169" s="252">
        <v>1.8</v>
      </c>
      <c r="E169" s="269"/>
      <c r="F169" s="251"/>
      <c r="G169" s="253">
        <v>2</v>
      </c>
      <c r="H169" s="252"/>
      <c r="I169" s="254"/>
      <c r="J169" s="255">
        <v>40</v>
      </c>
      <c r="K169" s="255">
        <f>+J169*0.736</f>
        <v>29.439999999999998</v>
      </c>
    </row>
    <row r="170" spans="1:11" x14ac:dyDescent="0.25">
      <c r="A170" s="256"/>
      <c r="B170" s="251"/>
      <c r="C170" s="252"/>
      <c r="D170" s="252">
        <v>2.4</v>
      </c>
      <c r="E170" s="269"/>
      <c r="F170" s="251"/>
      <c r="G170" s="253">
        <v>2</v>
      </c>
      <c r="H170" s="252"/>
      <c r="I170" s="254"/>
      <c r="J170" s="255">
        <v>50</v>
      </c>
      <c r="K170" s="255">
        <f>+J170*0.736</f>
        <v>36.799999999999997</v>
      </c>
    </row>
    <row r="171" spans="1:11" x14ac:dyDescent="0.25">
      <c r="A171" s="256"/>
      <c r="B171" s="251"/>
      <c r="C171" s="252"/>
      <c r="D171" s="269"/>
      <c r="E171" s="269"/>
      <c r="F171" s="269"/>
      <c r="G171" s="269"/>
      <c r="H171" s="269"/>
      <c r="I171" s="269"/>
      <c r="J171" s="270"/>
      <c r="K171" s="270"/>
    </row>
    <row r="172" spans="1:11" x14ac:dyDescent="0.25">
      <c r="A172" s="257" t="s">
        <v>977</v>
      </c>
      <c r="B172" s="251"/>
      <c r="C172" s="252"/>
      <c r="D172" s="252"/>
      <c r="E172" s="269"/>
      <c r="F172" s="251"/>
      <c r="G172" s="253"/>
      <c r="H172" s="252"/>
      <c r="I172" s="254"/>
      <c r="J172" s="255"/>
      <c r="K172" s="255"/>
    </row>
    <row r="173" spans="1:11" x14ac:dyDescent="0.25">
      <c r="A173" s="250" t="s">
        <v>978</v>
      </c>
      <c r="B173" s="262"/>
      <c r="C173" s="263"/>
      <c r="D173" s="252">
        <v>1.6</v>
      </c>
      <c r="E173" s="269"/>
      <c r="F173" s="251"/>
      <c r="G173" s="253">
        <v>2</v>
      </c>
      <c r="H173" s="252"/>
      <c r="I173" s="254"/>
      <c r="J173" s="255">
        <v>45</v>
      </c>
      <c r="K173" s="255">
        <f>+J173*0.736</f>
        <v>33.119999999999997</v>
      </c>
    </row>
    <row r="174" spans="1:11" x14ac:dyDescent="0.25">
      <c r="A174" s="256"/>
      <c r="B174" s="251"/>
      <c r="C174" s="252"/>
      <c r="D174" s="252">
        <v>1.8</v>
      </c>
      <c r="E174" s="269"/>
      <c r="F174" s="251"/>
      <c r="G174" s="253">
        <v>2</v>
      </c>
      <c r="H174" s="252"/>
      <c r="I174" s="254"/>
      <c r="J174" s="255">
        <v>50</v>
      </c>
      <c r="K174" s="255">
        <f>+J174*0.736</f>
        <v>36.799999999999997</v>
      </c>
    </row>
    <row r="175" spans="1:11" x14ac:dyDescent="0.25">
      <c r="A175" s="256"/>
      <c r="B175" s="251"/>
      <c r="C175" s="252"/>
      <c r="D175" s="252">
        <v>2</v>
      </c>
      <c r="E175" s="269"/>
      <c r="F175" s="251"/>
      <c r="G175" s="253">
        <v>2</v>
      </c>
      <c r="H175" s="252"/>
      <c r="I175" s="254"/>
      <c r="J175" s="255">
        <v>60</v>
      </c>
      <c r="K175" s="255">
        <f>+J175*0.736</f>
        <v>44.16</v>
      </c>
    </row>
    <row r="176" spans="1:11" x14ac:dyDescent="0.25">
      <c r="A176" s="257" t="s">
        <v>979</v>
      </c>
      <c r="B176" s="251"/>
      <c r="C176" s="252"/>
      <c r="D176" s="269"/>
      <c r="E176" s="269"/>
      <c r="F176" s="269"/>
      <c r="G176" s="269"/>
      <c r="H176" s="269"/>
      <c r="I176" s="269"/>
      <c r="J176" s="270"/>
      <c r="K176" s="270"/>
    </row>
    <row r="177" spans="1:11" x14ac:dyDescent="0.25">
      <c r="A177" s="250" t="s">
        <v>980</v>
      </c>
      <c r="B177" s="251"/>
      <c r="C177" s="252"/>
      <c r="D177" s="252"/>
      <c r="E177" s="252"/>
      <c r="F177" s="251"/>
      <c r="G177" s="253"/>
      <c r="H177" s="252"/>
      <c r="I177" s="254"/>
      <c r="J177" s="255">
        <v>45</v>
      </c>
      <c r="K177" s="255">
        <f>+J177*0.736</f>
        <v>33.119999999999997</v>
      </c>
    </row>
    <row r="178" spans="1:11" x14ac:dyDescent="0.25">
      <c r="A178" s="250" t="s">
        <v>981</v>
      </c>
      <c r="B178" s="251"/>
      <c r="C178" s="252"/>
      <c r="D178" s="252"/>
      <c r="E178" s="252"/>
      <c r="F178" s="251"/>
      <c r="G178" s="253"/>
      <c r="H178" s="252"/>
      <c r="I178" s="254"/>
      <c r="J178" s="255">
        <v>53</v>
      </c>
      <c r="K178" s="255">
        <f t="shared" ref="K178:K185" si="11">+J178*0.736</f>
        <v>39.008000000000003</v>
      </c>
    </row>
    <row r="179" spans="1:11" x14ac:dyDescent="0.25">
      <c r="A179" s="250" t="s">
        <v>982</v>
      </c>
      <c r="B179" s="251"/>
      <c r="C179" s="252"/>
      <c r="D179" s="252"/>
      <c r="E179" s="252"/>
      <c r="F179" s="251"/>
      <c r="G179" s="253"/>
      <c r="H179" s="252"/>
      <c r="I179" s="254"/>
      <c r="J179" s="255">
        <v>60</v>
      </c>
      <c r="K179" s="255">
        <f t="shared" si="11"/>
        <v>44.16</v>
      </c>
    </row>
    <row r="180" spans="1:11" x14ac:dyDescent="0.25">
      <c r="A180" s="271" t="s">
        <v>983</v>
      </c>
      <c r="B180" s="272"/>
      <c r="C180" s="273"/>
      <c r="D180" s="273"/>
      <c r="E180" s="273"/>
      <c r="F180" s="272"/>
      <c r="G180" s="274"/>
      <c r="H180" s="273"/>
      <c r="I180" s="275"/>
      <c r="J180" s="276">
        <v>70</v>
      </c>
      <c r="K180" s="255">
        <f t="shared" si="11"/>
        <v>51.519999999999996</v>
      </c>
    </row>
    <row r="181" spans="1:11" x14ac:dyDescent="0.25">
      <c r="A181" s="277" t="s">
        <v>984</v>
      </c>
      <c r="B181" s="269"/>
      <c r="C181" s="259"/>
      <c r="D181" s="259"/>
      <c r="E181" s="259"/>
      <c r="F181" s="269"/>
      <c r="G181" s="278"/>
      <c r="H181" s="259"/>
      <c r="I181" s="279"/>
      <c r="J181" s="280">
        <v>80</v>
      </c>
      <c r="K181" s="255">
        <f t="shared" si="11"/>
        <v>58.879999999999995</v>
      </c>
    </row>
    <row r="182" spans="1:11" x14ac:dyDescent="0.25">
      <c r="A182" s="258" t="s">
        <v>985</v>
      </c>
      <c r="B182" s="269"/>
      <c r="C182" s="259"/>
      <c r="D182" s="259"/>
      <c r="E182" s="259"/>
      <c r="F182" s="269"/>
      <c r="G182" s="278"/>
      <c r="H182" s="259"/>
      <c r="I182" s="279"/>
      <c r="J182" s="280">
        <v>90</v>
      </c>
      <c r="K182" s="255">
        <f t="shared" si="11"/>
        <v>66.239999999999995</v>
      </c>
    </row>
    <row r="183" spans="1:11" x14ac:dyDescent="0.25">
      <c r="A183" s="258" t="s">
        <v>986</v>
      </c>
      <c r="B183" s="269"/>
      <c r="C183" s="259"/>
      <c r="D183" s="259"/>
      <c r="E183" s="259"/>
      <c r="F183" s="269"/>
      <c r="G183" s="278"/>
      <c r="H183" s="259"/>
      <c r="I183" s="279"/>
      <c r="J183" s="280">
        <v>105</v>
      </c>
      <c r="K183" s="255">
        <f t="shared" si="11"/>
        <v>77.28</v>
      </c>
    </row>
    <row r="184" spans="1:11" x14ac:dyDescent="0.25">
      <c r="A184" s="258" t="s">
        <v>987</v>
      </c>
      <c r="B184" s="269"/>
      <c r="C184" s="259"/>
      <c r="D184" s="259"/>
      <c r="E184" s="259"/>
      <c r="F184" s="269"/>
      <c r="G184" s="278"/>
      <c r="H184" s="259"/>
      <c r="I184" s="279"/>
      <c r="J184" s="280">
        <v>120</v>
      </c>
      <c r="K184" s="255">
        <f t="shared" si="11"/>
        <v>88.32</v>
      </c>
    </row>
    <row r="185" spans="1:11" x14ac:dyDescent="0.25">
      <c r="A185" s="258" t="s">
        <v>988</v>
      </c>
      <c r="B185" s="269"/>
      <c r="C185" s="259"/>
      <c r="D185" s="259"/>
      <c r="E185" s="259"/>
      <c r="F185" s="269"/>
      <c r="G185" s="278"/>
      <c r="H185" s="259"/>
      <c r="I185" s="279"/>
      <c r="J185" s="280">
        <v>140</v>
      </c>
      <c r="K185" s="255">
        <f t="shared" si="11"/>
        <v>103.03999999999999</v>
      </c>
    </row>
    <row r="186" spans="1:11" x14ac:dyDescent="0.25">
      <c r="A186" s="55"/>
      <c r="B186" s="55"/>
      <c r="C186" s="55"/>
      <c r="D186" s="55"/>
      <c r="E186" s="55"/>
      <c r="F186" s="55"/>
      <c r="G186" s="55"/>
      <c r="H186" s="55"/>
      <c r="I186" s="55"/>
      <c r="J186" s="55"/>
      <c r="K186" s="55"/>
    </row>
    <row r="187" spans="1:11" x14ac:dyDescent="0.25">
      <c r="A187" s="55"/>
      <c r="B187" s="55"/>
      <c r="C187" s="55"/>
      <c r="D187" s="55"/>
      <c r="E187" s="55"/>
      <c r="F187" s="55"/>
      <c r="G187" s="55"/>
      <c r="H187" s="55"/>
      <c r="I187" s="55"/>
      <c r="J187" s="55"/>
      <c r="K187" s="55"/>
    </row>
    <row r="188" spans="1:11" x14ac:dyDescent="0.25">
      <c r="A188" s="55"/>
      <c r="B188" s="55"/>
      <c r="C188" s="55"/>
      <c r="D188" s="55"/>
      <c r="E188" s="55"/>
      <c r="F188" s="55"/>
      <c r="G188" s="55"/>
      <c r="H188" s="55"/>
      <c r="I188" s="55"/>
      <c r="J188" s="281">
        <v>53</v>
      </c>
      <c r="K188" s="255">
        <f t="shared" ref="K188:K189" si="12">+J188*0.736</f>
        <v>39.008000000000003</v>
      </c>
    </row>
    <row r="189" spans="1:11" x14ac:dyDescent="0.25">
      <c r="A189" s="257" t="s">
        <v>989</v>
      </c>
      <c r="B189" s="55"/>
      <c r="C189" s="55"/>
      <c r="D189" s="55"/>
      <c r="E189" s="55"/>
      <c r="F189" s="55"/>
      <c r="G189" s="55"/>
      <c r="H189" s="55"/>
      <c r="I189" s="55"/>
      <c r="J189" s="281">
        <v>45</v>
      </c>
      <c r="K189" s="255">
        <f t="shared" si="12"/>
        <v>33.119999999999997</v>
      </c>
    </row>
    <row r="190" spans="1:11" x14ac:dyDescent="0.25">
      <c r="A190" s="257" t="s">
        <v>13</v>
      </c>
      <c r="B190" s="55"/>
      <c r="C190" s="55"/>
      <c r="D190" s="55"/>
      <c r="E190" s="55"/>
      <c r="F190" s="55"/>
      <c r="G190" s="55"/>
      <c r="H190" s="55"/>
      <c r="I190" s="55"/>
      <c r="J190" s="55"/>
      <c r="K190" s="55"/>
    </row>
    <row r="191" spans="1:11" x14ac:dyDescent="0.25">
      <c r="A191" s="55"/>
      <c r="B191" s="55"/>
      <c r="C191" s="55"/>
      <c r="D191" s="55"/>
      <c r="E191" s="55"/>
      <c r="F191" s="55"/>
      <c r="G191" s="55"/>
      <c r="H191" s="55"/>
      <c r="I191" s="55"/>
      <c r="J191" s="55"/>
      <c r="K191" s="55"/>
    </row>
  </sheetData>
  <mergeCells count="3">
    <mergeCell ref="A2:A3"/>
    <mergeCell ref="B2:E2"/>
    <mergeCell ref="J2:K2"/>
  </mergeCells>
  <hyperlinks>
    <hyperlink ref="A1" location="Indice!A1" display="Índice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workbookViewId="0">
      <pane ySplit="3" topLeftCell="A4" activePane="bottomLeft" state="frozen"/>
      <selection pane="bottomLeft"/>
    </sheetView>
  </sheetViews>
  <sheetFormatPr defaultRowHeight="13.2" x14ac:dyDescent="0.25"/>
  <cols>
    <col min="1" max="1" width="50.5546875" customWidth="1"/>
    <col min="2" max="2" width="43.44140625" bestFit="1" customWidth="1"/>
  </cols>
  <sheetData>
    <row r="1" spans="1:2" ht="20.100000000000001" customHeight="1" x14ac:dyDescent="0.25">
      <c r="A1" s="226" t="s">
        <v>869</v>
      </c>
      <c r="B1" s="36"/>
    </row>
    <row r="2" spans="1:2" ht="20.100000000000001" customHeight="1" x14ac:dyDescent="0.25">
      <c r="A2" s="282"/>
      <c r="B2" s="224" t="s">
        <v>990</v>
      </c>
    </row>
    <row r="3" spans="1:2" ht="20.100000000000001" customHeight="1" thickBot="1" x14ac:dyDescent="0.3">
      <c r="A3" s="283" t="s">
        <v>991</v>
      </c>
      <c r="B3" s="225" t="s">
        <v>992</v>
      </c>
    </row>
    <row r="4" spans="1:2" ht="20.100000000000001" customHeight="1" x14ac:dyDescent="0.25">
      <c r="A4" s="284" t="s">
        <v>993</v>
      </c>
      <c r="B4" s="285" t="s">
        <v>994</v>
      </c>
    </row>
    <row r="5" spans="1:2" ht="20.100000000000001" customHeight="1" x14ac:dyDescent="0.25">
      <c r="A5" s="284" t="s">
        <v>995</v>
      </c>
      <c r="B5" s="286" t="s">
        <v>996</v>
      </c>
    </row>
    <row r="6" spans="1:2" ht="20.100000000000001" customHeight="1" x14ac:dyDescent="0.25">
      <c r="A6" s="284" t="s">
        <v>997</v>
      </c>
      <c r="B6" s="286" t="s">
        <v>998</v>
      </c>
    </row>
    <row r="7" spans="1:2" ht="20.100000000000001" customHeight="1" thickBot="1" x14ac:dyDescent="0.3">
      <c r="A7" s="287" t="s">
        <v>999</v>
      </c>
      <c r="B7" s="288" t="s">
        <v>998</v>
      </c>
    </row>
    <row r="8" spans="1:2" ht="20.100000000000001" customHeight="1" x14ac:dyDescent="0.25">
      <c r="A8" s="284" t="s">
        <v>1000</v>
      </c>
      <c r="B8" s="286" t="s">
        <v>994</v>
      </c>
    </row>
    <row r="9" spans="1:2" ht="20.100000000000001" customHeight="1" x14ac:dyDescent="0.25">
      <c r="A9" s="284" t="s">
        <v>1001</v>
      </c>
      <c r="B9" s="286" t="s">
        <v>994</v>
      </c>
    </row>
    <row r="10" spans="1:2" ht="20.100000000000001" customHeight="1" thickBot="1" x14ac:dyDescent="0.3">
      <c r="A10" s="287" t="s">
        <v>1002</v>
      </c>
      <c r="B10" s="288" t="s">
        <v>996</v>
      </c>
    </row>
    <row r="11" spans="1:2" ht="20.100000000000001" customHeight="1" x14ac:dyDescent="0.25">
      <c r="A11" s="284" t="s">
        <v>1003</v>
      </c>
      <c r="B11" s="286" t="s">
        <v>996</v>
      </c>
    </row>
    <row r="12" spans="1:2" ht="20.100000000000001" customHeight="1" x14ac:dyDescent="0.25">
      <c r="A12" s="284" t="s">
        <v>1004</v>
      </c>
      <c r="B12" s="286" t="s">
        <v>1005</v>
      </c>
    </row>
    <row r="13" spans="1:2" ht="20.100000000000001" customHeight="1" thickBot="1" x14ac:dyDescent="0.3">
      <c r="A13" s="287" t="s">
        <v>1006</v>
      </c>
      <c r="B13" s="288" t="s">
        <v>1007</v>
      </c>
    </row>
    <row r="14" spans="1:2" ht="20.100000000000001" customHeight="1" x14ac:dyDescent="0.25">
      <c r="A14" s="284" t="s">
        <v>952</v>
      </c>
      <c r="B14" s="286" t="s">
        <v>1007</v>
      </c>
    </row>
    <row r="15" spans="1:2" ht="20.100000000000001" customHeight="1" x14ac:dyDescent="0.25">
      <c r="A15" s="284" t="s">
        <v>1008</v>
      </c>
      <c r="B15" s="286" t="s">
        <v>1009</v>
      </c>
    </row>
    <row r="16" spans="1:2" ht="20.100000000000001" customHeight="1" x14ac:dyDescent="0.25">
      <c r="A16" s="284" t="s">
        <v>1010</v>
      </c>
      <c r="B16" s="286" t="s">
        <v>1009</v>
      </c>
    </row>
    <row r="17" spans="1:2" ht="20.100000000000001" customHeight="1" x14ac:dyDescent="0.25">
      <c r="A17" s="284" t="s">
        <v>1011</v>
      </c>
      <c r="B17" s="286" t="s">
        <v>1012</v>
      </c>
    </row>
    <row r="18" spans="1:2" ht="20.100000000000001" customHeight="1" thickBot="1" x14ac:dyDescent="0.3">
      <c r="A18" s="284" t="s">
        <v>1013</v>
      </c>
      <c r="B18" s="286" t="s">
        <v>1007</v>
      </c>
    </row>
    <row r="19" spans="1:2" ht="20.100000000000001" customHeight="1" x14ac:dyDescent="0.25">
      <c r="A19" s="289" t="s">
        <v>1014</v>
      </c>
      <c r="B19" s="285" t="s">
        <v>1009</v>
      </c>
    </row>
    <row r="20" spans="1:2" ht="20.100000000000001" customHeight="1" thickBot="1" x14ac:dyDescent="0.3">
      <c r="A20" s="287" t="s">
        <v>1015</v>
      </c>
      <c r="B20" s="288" t="s">
        <v>1016</v>
      </c>
    </row>
    <row r="21" spans="1:2" ht="20.100000000000001" customHeight="1" x14ac:dyDescent="0.25">
      <c r="A21" s="284" t="s">
        <v>1017</v>
      </c>
      <c r="B21" s="286" t="s">
        <v>1005</v>
      </c>
    </row>
    <row r="22" spans="1:2" ht="20.100000000000001" customHeight="1" x14ac:dyDescent="0.25">
      <c r="A22" s="284" t="s">
        <v>1018</v>
      </c>
      <c r="B22" s="286" t="s">
        <v>1005</v>
      </c>
    </row>
    <row r="23" spans="1:2" ht="20.100000000000001" customHeight="1" thickBot="1" x14ac:dyDescent="0.3">
      <c r="A23" s="287" t="s">
        <v>1019</v>
      </c>
      <c r="B23" s="288" t="s">
        <v>1020</v>
      </c>
    </row>
    <row r="24" spans="1:2" ht="20.100000000000001" customHeight="1" thickBot="1" x14ac:dyDescent="0.3">
      <c r="A24" s="287" t="s">
        <v>1021</v>
      </c>
      <c r="B24" s="288" t="s">
        <v>998</v>
      </c>
    </row>
    <row r="25" spans="1:2" ht="20.100000000000001" customHeight="1" x14ac:dyDescent="0.25">
      <c r="A25" s="382" t="s">
        <v>1022</v>
      </c>
      <c r="B25" s="383"/>
    </row>
  </sheetData>
  <mergeCells count="1">
    <mergeCell ref="A25:B25"/>
  </mergeCells>
  <hyperlinks>
    <hyperlink ref="A1" location="Indice!A1" display="Índice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zoomScaleSheetLayoutView="100" workbookViewId="0">
      <pane ySplit="1" topLeftCell="A2" activePane="bottomLeft" state="frozen"/>
      <selection pane="bottomLeft" activeCell="L26" sqref="L26"/>
    </sheetView>
  </sheetViews>
  <sheetFormatPr defaultColWidth="8" defaultRowHeight="13.2" x14ac:dyDescent="0.25"/>
  <cols>
    <col min="1" max="1" width="29.6640625" customWidth="1"/>
    <col min="2" max="3" width="13.44140625" style="14" customWidth="1"/>
    <col min="4" max="4" width="14.6640625" style="14" customWidth="1"/>
    <col min="5" max="5" width="15.6640625" style="14" customWidth="1"/>
    <col min="6" max="6" width="13.88671875" style="14" customWidth="1"/>
    <col min="7" max="7" width="14.109375" style="14" customWidth="1"/>
    <col min="8" max="8" width="10.6640625" customWidth="1"/>
    <col min="9" max="9" width="10" customWidth="1"/>
  </cols>
  <sheetData>
    <row r="1" spans="1:8" ht="20.100000000000001" customHeight="1" x14ac:dyDescent="0.25">
      <c r="A1" s="322" t="s">
        <v>159</v>
      </c>
      <c r="B1" s="323"/>
      <c r="C1" s="323"/>
      <c r="D1" s="323"/>
      <c r="E1" s="323"/>
      <c r="F1" s="323"/>
      <c r="G1" s="323"/>
    </row>
    <row r="2" spans="1:8" ht="20.100000000000001" customHeight="1" x14ac:dyDescent="0.25">
      <c r="A2" s="2" t="s">
        <v>160</v>
      </c>
      <c r="B2" s="321"/>
      <c r="C2" s="321"/>
      <c r="D2" s="321"/>
    </row>
    <row r="3" spans="1:8" ht="20.100000000000001" customHeight="1" x14ac:dyDescent="0.25">
      <c r="A3" s="319" t="s">
        <v>164</v>
      </c>
      <c r="B3" s="15" t="s">
        <v>161</v>
      </c>
      <c r="C3" s="15" t="s">
        <v>162</v>
      </c>
      <c r="D3" s="15" t="s">
        <v>163</v>
      </c>
    </row>
    <row r="4" spans="1:8" ht="20.100000000000001" customHeight="1" x14ac:dyDescent="0.25">
      <c r="A4" s="320"/>
      <c r="B4" s="14" t="s">
        <v>466</v>
      </c>
      <c r="C4" s="14" t="s">
        <v>466</v>
      </c>
      <c r="D4" s="14" t="s">
        <v>466</v>
      </c>
    </row>
    <row r="5" spans="1:8" ht="20.100000000000001" customHeight="1" x14ac:dyDescent="0.25">
      <c r="A5" s="2" t="s">
        <v>165</v>
      </c>
      <c r="B5" s="15">
        <v>9</v>
      </c>
      <c r="C5" s="16"/>
      <c r="D5" s="16"/>
    </row>
    <row r="6" spans="1:8" ht="20.100000000000001" customHeight="1" x14ac:dyDescent="0.25">
      <c r="A6" s="2" t="s">
        <v>166</v>
      </c>
      <c r="B6" s="15">
        <v>2</v>
      </c>
    </row>
    <row r="7" spans="1:8" ht="5.25" customHeight="1" x14ac:dyDescent="0.25"/>
    <row r="8" spans="1:8" ht="23.25" customHeight="1" x14ac:dyDescent="0.25">
      <c r="A8" s="187" t="s">
        <v>167</v>
      </c>
      <c r="B8" s="188" t="s">
        <v>642</v>
      </c>
      <c r="C8" s="188" t="s">
        <v>108</v>
      </c>
      <c r="D8" s="174" t="s">
        <v>790</v>
      </c>
      <c r="E8" s="191" t="s">
        <v>643</v>
      </c>
      <c r="H8" s="14"/>
    </row>
    <row r="9" spans="1:8" ht="20.100000000000001" customHeight="1" x14ac:dyDescent="0.25">
      <c r="A9" s="2" t="s">
        <v>168</v>
      </c>
      <c r="B9" s="15">
        <v>750</v>
      </c>
      <c r="C9" s="15">
        <v>2</v>
      </c>
      <c r="D9" s="186">
        <v>30</v>
      </c>
      <c r="E9" s="190">
        <f>+B9*C9*(1+D9/100)*14</f>
        <v>27300</v>
      </c>
      <c r="H9" s="14"/>
    </row>
    <row r="10" spans="1:8" ht="20.100000000000001" customHeight="1" x14ac:dyDescent="0.25">
      <c r="A10" s="2" t="s">
        <v>789</v>
      </c>
      <c r="B10" s="15">
        <v>650</v>
      </c>
      <c r="C10" s="15">
        <v>3</v>
      </c>
      <c r="D10" s="186">
        <v>30</v>
      </c>
      <c r="E10" s="190">
        <f>+B10*C10*(1+D10/100)*14</f>
        <v>35490</v>
      </c>
      <c r="H10" s="14"/>
    </row>
    <row r="11" spans="1:8" ht="20.100000000000001" customHeight="1" x14ac:dyDescent="0.25">
      <c r="A11" s="2" t="s">
        <v>169</v>
      </c>
      <c r="D11" s="178"/>
      <c r="E11" s="190">
        <f>+E9+E10</f>
        <v>62790</v>
      </c>
      <c r="H11" s="14"/>
    </row>
    <row r="12" spans="1:8" ht="5.25" customHeight="1" x14ac:dyDescent="0.25"/>
    <row r="13" spans="1:8" ht="20.100000000000001" customHeight="1" x14ac:dyDescent="0.25">
      <c r="A13" s="2" t="s">
        <v>170</v>
      </c>
      <c r="B13" s="108" t="s">
        <v>47</v>
      </c>
    </row>
    <row r="14" spans="1:8" ht="20.100000000000001" customHeight="1" x14ac:dyDescent="0.25">
      <c r="A14" s="2" t="s">
        <v>654</v>
      </c>
      <c r="B14" s="15">
        <v>10</v>
      </c>
    </row>
    <row r="15" spans="1:8" ht="20.100000000000001" customHeight="1" x14ac:dyDescent="0.25">
      <c r="A15" s="2" t="s">
        <v>655</v>
      </c>
      <c r="B15" s="15">
        <v>5</v>
      </c>
    </row>
    <row r="16" spans="1:8" ht="5.25" customHeight="1" x14ac:dyDescent="0.25"/>
    <row r="17" spans="1:9" ht="20.100000000000001" customHeight="1" x14ac:dyDescent="0.25">
      <c r="A17" s="319" t="s">
        <v>175</v>
      </c>
      <c r="B17" s="15" t="s">
        <v>172</v>
      </c>
      <c r="C17" s="15" t="s">
        <v>47</v>
      </c>
      <c r="D17" s="15" t="s">
        <v>61</v>
      </c>
      <c r="E17" s="189" t="s">
        <v>643</v>
      </c>
      <c r="F17" s="15" t="s">
        <v>174</v>
      </c>
      <c r="G17" s="108" t="s">
        <v>793</v>
      </c>
      <c r="H17" s="108" t="s">
        <v>791</v>
      </c>
      <c r="I17" s="108" t="s">
        <v>792</v>
      </c>
    </row>
    <row r="18" spans="1:9" ht="20.100000000000001" customHeight="1" x14ac:dyDescent="0.25">
      <c r="A18" s="320"/>
      <c r="B18" s="15">
        <v>125</v>
      </c>
      <c r="C18" s="15">
        <f>+B14</f>
        <v>10</v>
      </c>
      <c r="D18" s="15">
        <f>+B18*C18</f>
        <v>1250</v>
      </c>
      <c r="E18" s="190">
        <f>+D18*$B$5</f>
        <v>11250</v>
      </c>
      <c r="F18" s="15">
        <v>5</v>
      </c>
      <c r="G18" s="15">
        <f>+E18/F18</f>
        <v>2250</v>
      </c>
      <c r="H18" s="179">
        <f>+B18/F18</f>
        <v>25</v>
      </c>
      <c r="I18" s="15">
        <f>+F18*H18*$B$5</f>
        <v>1125</v>
      </c>
    </row>
    <row r="19" spans="1:9" ht="5.25" customHeight="1" x14ac:dyDescent="0.25">
      <c r="E19" s="178"/>
      <c r="G19" s="178"/>
      <c r="H19" s="14"/>
      <c r="I19" s="14"/>
    </row>
    <row r="20" spans="1:9" ht="20.100000000000001" customHeight="1" x14ac:dyDescent="0.25">
      <c r="A20" s="324" t="s">
        <v>639</v>
      </c>
      <c r="B20" s="15" t="s">
        <v>172</v>
      </c>
      <c r="C20" s="15" t="s">
        <v>47</v>
      </c>
      <c r="D20" s="15" t="s">
        <v>61</v>
      </c>
      <c r="E20" s="15"/>
      <c r="F20" s="15" t="s">
        <v>174</v>
      </c>
      <c r="G20" s="15"/>
      <c r="H20" s="108" t="s">
        <v>640</v>
      </c>
      <c r="I20" s="108" t="s">
        <v>641</v>
      </c>
    </row>
    <row r="21" spans="1:9" ht="20.100000000000001" customHeight="1" x14ac:dyDescent="0.25">
      <c r="A21" s="320"/>
      <c r="B21" s="15">
        <v>100</v>
      </c>
      <c r="C21" s="15">
        <v>5</v>
      </c>
      <c r="D21" s="15">
        <f>+B21*C21</f>
        <v>500</v>
      </c>
      <c r="E21" s="190">
        <f>+D21*$B$5</f>
        <v>4500</v>
      </c>
      <c r="F21" s="15">
        <v>5</v>
      </c>
      <c r="G21" s="15">
        <f>+E21/F21</f>
        <v>900</v>
      </c>
      <c r="H21" s="179">
        <f>+B21/F21</f>
        <v>20</v>
      </c>
      <c r="I21" s="15">
        <f>+F21*H21*$B$5</f>
        <v>900</v>
      </c>
    </row>
    <row r="22" spans="1:9" ht="5.25" customHeight="1" x14ac:dyDescent="0.25">
      <c r="E22" s="178"/>
      <c r="G22" s="178"/>
      <c r="H22" s="14"/>
      <c r="I22" s="14"/>
    </row>
    <row r="23" spans="1:9" ht="20.100000000000001" customHeight="1" x14ac:dyDescent="0.25">
      <c r="A23" s="319" t="s">
        <v>176</v>
      </c>
      <c r="B23" s="15" t="s">
        <v>172</v>
      </c>
      <c r="C23" s="15" t="s">
        <v>171</v>
      </c>
      <c r="D23" s="15" t="s">
        <v>173</v>
      </c>
      <c r="E23" s="15"/>
      <c r="F23" s="15" t="s">
        <v>174</v>
      </c>
      <c r="G23" s="15"/>
      <c r="H23" s="108" t="s">
        <v>640</v>
      </c>
      <c r="I23" s="108" t="s">
        <v>641</v>
      </c>
    </row>
    <row r="24" spans="1:9" ht="20.100000000000001" customHeight="1" x14ac:dyDescent="0.25">
      <c r="A24" s="320"/>
      <c r="B24" s="15">
        <v>75</v>
      </c>
      <c r="C24" s="15">
        <v>5</v>
      </c>
      <c r="D24" s="15">
        <f>+B24*C24</f>
        <v>375</v>
      </c>
      <c r="E24" s="190">
        <f>+D24*$B$5</f>
        <v>3375</v>
      </c>
      <c r="F24" s="15">
        <v>10</v>
      </c>
      <c r="G24" s="15">
        <f>+E24/F24</f>
        <v>337.5</v>
      </c>
      <c r="H24" s="179">
        <f>+B24/F24</f>
        <v>7.5</v>
      </c>
      <c r="I24" s="15">
        <f>+F24*H24*$B$5</f>
        <v>675</v>
      </c>
    </row>
    <row r="25" spans="1:9" ht="5.25" customHeight="1" x14ac:dyDescent="0.25"/>
    <row r="26" spans="1:9" ht="20.100000000000001" customHeight="1" x14ac:dyDescent="0.25">
      <c r="A26" s="319" t="s">
        <v>177</v>
      </c>
      <c r="B26" s="15" t="s">
        <v>178</v>
      </c>
      <c r="C26" s="15" t="s">
        <v>179</v>
      </c>
      <c r="D26" s="17" t="s">
        <v>180</v>
      </c>
      <c r="E26" s="15" t="s">
        <v>181</v>
      </c>
      <c r="F26" s="15" t="s">
        <v>182</v>
      </c>
    </row>
    <row r="27" spans="1:9" ht="20.100000000000001" customHeight="1" x14ac:dyDescent="0.25">
      <c r="A27" s="320"/>
      <c r="B27" s="17">
        <v>10</v>
      </c>
      <c r="C27" s="17">
        <f>+B27*B5</f>
        <v>90</v>
      </c>
      <c r="D27" s="17">
        <v>15</v>
      </c>
      <c r="E27" s="15">
        <v>150</v>
      </c>
      <c r="F27" s="15">
        <v>250</v>
      </c>
    </row>
    <row r="28" spans="1:9" ht="5.25" customHeight="1" x14ac:dyDescent="0.25"/>
    <row r="29" spans="1:9" ht="20.100000000000001" customHeight="1" x14ac:dyDescent="0.25">
      <c r="A29" s="2" t="s">
        <v>183</v>
      </c>
      <c r="B29" s="17" t="s">
        <v>184</v>
      </c>
      <c r="C29" s="17" t="s">
        <v>185</v>
      </c>
      <c r="D29" s="81" t="s">
        <v>104</v>
      </c>
      <c r="E29" s="108" t="s">
        <v>61</v>
      </c>
      <c r="F29" s="192" t="s">
        <v>643</v>
      </c>
      <c r="H29" s="14"/>
    </row>
    <row r="30" spans="1:9" s="125" customFormat="1" ht="20.100000000000001" customHeight="1" x14ac:dyDescent="0.25">
      <c r="A30" s="147" t="s">
        <v>644</v>
      </c>
      <c r="B30" s="127">
        <v>6</v>
      </c>
      <c r="C30" s="127">
        <v>5</v>
      </c>
      <c r="D30" s="127">
        <v>1</v>
      </c>
      <c r="E30" s="15">
        <f>+B30*C30*D30</f>
        <v>30</v>
      </c>
      <c r="F30" s="193">
        <f>+$B$5*E30</f>
        <v>270</v>
      </c>
      <c r="G30" s="124"/>
      <c r="H30" s="124"/>
    </row>
    <row r="31" spans="1:9" s="125" customFormat="1" ht="20.100000000000001" customHeight="1" x14ac:dyDescent="0.25">
      <c r="A31" s="148" t="s">
        <v>4</v>
      </c>
      <c r="B31" s="127"/>
      <c r="C31" s="127"/>
      <c r="D31" s="127"/>
      <c r="E31" s="15"/>
      <c r="F31" s="124"/>
      <c r="G31" s="124"/>
      <c r="H31" s="124"/>
    </row>
    <row r="32" spans="1:9" ht="20.100000000000001" customHeight="1" x14ac:dyDescent="0.25">
      <c r="A32" s="102" t="s">
        <v>649</v>
      </c>
      <c r="B32" s="17">
        <v>10</v>
      </c>
      <c r="C32" s="17">
        <v>2.5</v>
      </c>
      <c r="D32" s="127">
        <v>3</v>
      </c>
      <c r="E32" s="15">
        <f>+B32*C32*D32</f>
        <v>75</v>
      </c>
      <c r="F32" s="194">
        <f t="shared" ref="F32:F33" si="0">+$B$5*E32</f>
        <v>675</v>
      </c>
      <c r="H32" s="14"/>
    </row>
    <row r="33" spans="1:8" s="125" customFormat="1" ht="20.100000000000001" customHeight="1" x14ac:dyDescent="0.25">
      <c r="A33" s="102" t="s">
        <v>650</v>
      </c>
      <c r="B33" s="127">
        <v>10</v>
      </c>
      <c r="C33" s="127">
        <v>2.5</v>
      </c>
      <c r="D33" s="127">
        <v>5</v>
      </c>
      <c r="E33" s="15">
        <f>+B33*C33*D33</f>
        <v>125</v>
      </c>
      <c r="F33" s="194">
        <f t="shared" si="0"/>
        <v>1125</v>
      </c>
      <c r="G33" s="124"/>
      <c r="H33" s="124"/>
    </row>
    <row r="34" spans="1:8" s="125" customFormat="1" ht="20.100000000000001" customHeight="1" x14ac:dyDescent="0.25">
      <c r="A34" s="102" t="s">
        <v>4</v>
      </c>
      <c r="B34" s="127"/>
      <c r="C34" s="127"/>
      <c r="D34" s="127"/>
      <c r="E34" s="15"/>
      <c r="F34" s="124"/>
      <c r="G34" s="124"/>
      <c r="H34" s="124"/>
    </row>
    <row r="35" spans="1:8" ht="20.100000000000001" customHeight="1" x14ac:dyDescent="0.25">
      <c r="A35" s="147" t="s">
        <v>664</v>
      </c>
      <c r="B35" s="17">
        <v>0.5</v>
      </c>
      <c r="C35" s="17">
        <v>300</v>
      </c>
      <c r="D35" s="127">
        <v>2</v>
      </c>
      <c r="E35" s="15">
        <f t="shared" ref="E35:E37" si="1">+B35*C35*D35</f>
        <v>300</v>
      </c>
      <c r="F35" s="193">
        <f>+$B$5*E35</f>
        <v>2700</v>
      </c>
      <c r="H35" s="14"/>
    </row>
    <row r="36" spans="1:8" s="125" customFormat="1" ht="20.100000000000001" customHeight="1" x14ac:dyDescent="0.25">
      <c r="A36" s="149" t="s">
        <v>645</v>
      </c>
      <c r="B36" s="127">
        <v>0.5</v>
      </c>
      <c r="C36" s="127">
        <v>300</v>
      </c>
      <c r="D36" s="127">
        <v>2</v>
      </c>
      <c r="E36" s="15">
        <f t="shared" si="1"/>
        <v>300</v>
      </c>
      <c r="F36" s="193">
        <f>+$B$5*E36</f>
        <v>2700</v>
      </c>
      <c r="G36" s="124"/>
      <c r="H36" s="124"/>
    </row>
    <row r="37" spans="1:8" s="125" customFormat="1" ht="20.100000000000001" customHeight="1" x14ac:dyDescent="0.25">
      <c r="A37" s="149" t="s">
        <v>646</v>
      </c>
      <c r="B37" s="127">
        <v>0.5</v>
      </c>
      <c r="C37" s="127">
        <v>50</v>
      </c>
      <c r="D37" s="127">
        <v>1</v>
      </c>
      <c r="E37" s="15">
        <f t="shared" si="1"/>
        <v>25</v>
      </c>
      <c r="F37" s="193">
        <f>+$B$5*E37</f>
        <v>225</v>
      </c>
      <c r="G37" s="124"/>
      <c r="H37" s="124"/>
    </row>
    <row r="38" spans="1:8" s="125" customFormat="1" ht="20.100000000000001" customHeight="1" x14ac:dyDescent="0.25">
      <c r="A38" s="102" t="s">
        <v>4</v>
      </c>
      <c r="B38" s="127"/>
      <c r="C38" s="127"/>
      <c r="D38" s="127"/>
      <c r="E38" s="15"/>
      <c r="F38" s="124"/>
      <c r="G38" s="124"/>
      <c r="H38" s="124"/>
    </row>
    <row r="39" spans="1:8" s="125" customFormat="1" ht="20.100000000000001" customHeight="1" x14ac:dyDescent="0.25">
      <c r="A39" s="149" t="s">
        <v>647</v>
      </c>
      <c r="B39" s="127">
        <v>7.4999999999999997E-2</v>
      </c>
      <c r="C39" s="127">
        <v>1000</v>
      </c>
      <c r="D39" s="127">
        <v>1</v>
      </c>
      <c r="E39" s="15">
        <f>+B39*C39*D39</f>
        <v>75</v>
      </c>
      <c r="F39" s="193">
        <f>+$B$5*E39</f>
        <v>675</v>
      </c>
      <c r="G39" s="124"/>
      <c r="H39" s="124"/>
    </row>
    <row r="40" spans="1:8" s="125" customFormat="1" ht="20.100000000000001" customHeight="1" x14ac:dyDescent="0.25">
      <c r="A40" s="149" t="s">
        <v>4</v>
      </c>
      <c r="B40" s="127"/>
      <c r="C40" s="127"/>
      <c r="D40" s="127"/>
      <c r="E40" s="15"/>
      <c r="F40" s="124"/>
      <c r="G40" s="124"/>
      <c r="H40" s="124"/>
    </row>
    <row r="41" spans="1:8" s="116" customFormat="1" ht="5.25" customHeight="1" x14ac:dyDescent="0.25">
      <c r="B41" s="115"/>
      <c r="C41" s="115"/>
      <c r="D41" s="115"/>
      <c r="E41" s="115"/>
      <c r="F41" s="115"/>
      <c r="G41" s="115"/>
    </row>
    <row r="42" spans="1:8" s="116" customFormat="1" ht="20.100000000000001" customHeight="1" x14ac:dyDescent="0.25">
      <c r="A42" s="148" t="s">
        <v>648</v>
      </c>
      <c r="B42" s="81" t="s">
        <v>635</v>
      </c>
      <c r="C42" s="81" t="s">
        <v>794</v>
      </c>
      <c r="D42" s="108" t="s">
        <v>651</v>
      </c>
      <c r="E42" s="192" t="s">
        <v>643</v>
      </c>
      <c r="F42" s="157" t="s">
        <v>61</v>
      </c>
      <c r="G42" s="115"/>
    </row>
    <row r="43" spans="1:8" s="116" customFormat="1" ht="20.100000000000001" customHeight="1" x14ac:dyDescent="0.25">
      <c r="A43" s="102" t="s">
        <v>652</v>
      </c>
      <c r="B43" s="118">
        <v>50</v>
      </c>
      <c r="C43" s="118">
        <v>250</v>
      </c>
      <c r="D43" s="15">
        <v>5</v>
      </c>
      <c r="E43" s="193">
        <f>+C43*D43/B43</f>
        <v>25</v>
      </c>
      <c r="F43" s="121">
        <f>+E43/$B$5</f>
        <v>2.7777777777777777</v>
      </c>
      <c r="G43" s="115"/>
    </row>
    <row r="44" spans="1:8" s="125" customFormat="1" ht="20.100000000000001" customHeight="1" x14ac:dyDescent="0.25">
      <c r="A44" s="102" t="s">
        <v>653</v>
      </c>
      <c r="B44" s="127">
        <v>50</v>
      </c>
      <c r="C44" s="127">
        <v>200</v>
      </c>
      <c r="D44" s="15">
        <v>5</v>
      </c>
      <c r="E44" s="193">
        <f>+C44*D44/B44</f>
        <v>20</v>
      </c>
      <c r="F44" s="121">
        <f>+E44/$B$5</f>
        <v>2.2222222222222223</v>
      </c>
      <c r="G44" s="124"/>
    </row>
    <row r="45" spans="1:8" ht="20.100000000000001" customHeight="1" x14ac:dyDescent="0.25">
      <c r="A45" s="102" t="s">
        <v>4</v>
      </c>
    </row>
    <row r="46" spans="1:8" ht="5.25" customHeight="1" x14ac:dyDescent="0.25"/>
    <row r="47" spans="1:8" ht="20.100000000000001" customHeight="1" x14ac:dyDescent="0.25">
      <c r="A47" s="319" t="s">
        <v>191</v>
      </c>
      <c r="B47" s="15" t="s">
        <v>186</v>
      </c>
      <c r="C47" s="15" t="s">
        <v>189</v>
      </c>
      <c r="D47" s="15" t="s">
        <v>190</v>
      </c>
      <c r="E47" s="15" t="s">
        <v>187</v>
      </c>
      <c r="F47" s="189" t="s">
        <v>795</v>
      </c>
      <c r="G47" s="108" t="s">
        <v>188</v>
      </c>
    </row>
    <row r="48" spans="1:8" ht="20.100000000000001" customHeight="1" x14ac:dyDescent="0.25">
      <c r="A48" s="320"/>
      <c r="B48" s="15">
        <v>7500</v>
      </c>
      <c r="C48" s="15">
        <v>10</v>
      </c>
      <c r="D48" s="15">
        <f>+B48*(100-C48)/100*B5</f>
        <v>60750</v>
      </c>
      <c r="E48" s="215">
        <v>2</v>
      </c>
      <c r="F48" s="190">
        <f>E48*D48</f>
        <v>121500</v>
      </c>
      <c r="G48" s="15">
        <f>+F48/B5</f>
        <v>13500</v>
      </c>
    </row>
    <row r="49" ht="20.100000000000001" customHeight="1" x14ac:dyDescent="0.25"/>
    <row r="50" ht="20.100000000000001" customHeight="1" x14ac:dyDescent="0.25"/>
  </sheetData>
  <mergeCells count="8">
    <mergeCell ref="A47:A48"/>
    <mergeCell ref="A26:A27"/>
    <mergeCell ref="B2:D2"/>
    <mergeCell ref="A1:G1"/>
    <mergeCell ref="A3:A4"/>
    <mergeCell ref="A17:A18"/>
    <mergeCell ref="A20:A21"/>
    <mergeCell ref="A23:A24"/>
  </mergeCells>
  <printOptions horizontalCentered="1" gridLines="1"/>
  <pageMargins left="7.874015748031496E-2" right="7.874015748031496E-2" top="7.874015748031496E-2" bottom="7.874015748031496E-2" header="0.31496062992125984" footer="0.31496062992125984"/>
  <pageSetup fitToWidth="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zoomScaleSheetLayoutView="100" workbookViewId="0">
      <pane ySplit="1" topLeftCell="A2" activePane="bottomLeft" state="frozen"/>
      <selection pane="bottomLeft" activeCell="I9" sqref="I9"/>
    </sheetView>
  </sheetViews>
  <sheetFormatPr defaultColWidth="8" defaultRowHeight="13.2" x14ac:dyDescent="0.25"/>
  <cols>
    <col min="1" max="1" width="12.33203125" customWidth="1"/>
    <col min="2" max="9" width="8.6640625" customWidth="1"/>
    <col min="10" max="10" width="10.88671875" customWidth="1"/>
    <col min="11" max="11" width="8.6640625" customWidth="1"/>
    <col min="12" max="12" width="12.109375" customWidth="1"/>
    <col min="13" max="13" width="9.33203125" customWidth="1"/>
    <col min="14" max="14" width="2.88671875" customWidth="1"/>
    <col min="15" max="15" width="5.44140625" customWidth="1"/>
    <col min="16" max="16" width="3.44140625" customWidth="1"/>
  </cols>
  <sheetData>
    <row r="1" spans="1:17" ht="15" customHeight="1" x14ac:dyDescent="0.3">
      <c r="A1" s="297" t="s">
        <v>869</v>
      </c>
      <c r="B1" s="327" t="s">
        <v>594</v>
      </c>
      <c r="C1" s="328"/>
      <c r="D1" s="328"/>
      <c r="E1" s="328"/>
      <c r="F1" s="328"/>
      <c r="G1" s="328"/>
      <c r="H1" s="328"/>
      <c r="I1" s="328"/>
      <c r="J1" s="328"/>
      <c r="K1" s="328"/>
    </row>
    <row r="2" spans="1:17" ht="15" customHeight="1" x14ac:dyDescent="0.25">
      <c r="A2" s="63"/>
      <c r="B2" s="64" t="s">
        <v>100</v>
      </c>
      <c r="C2" s="64" t="s">
        <v>149</v>
      </c>
      <c r="D2" s="64" t="s">
        <v>35</v>
      </c>
      <c r="E2" s="64" t="s">
        <v>89</v>
      </c>
      <c r="F2" s="64" t="s">
        <v>32</v>
      </c>
      <c r="G2" s="64" t="s">
        <v>577</v>
      </c>
      <c r="H2" s="64" t="s">
        <v>131</v>
      </c>
      <c r="I2" s="64" t="s">
        <v>578</v>
      </c>
      <c r="J2" s="64" t="s">
        <v>579</v>
      </c>
      <c r="K2" s="65" t="s">
        <v>580</v>
      </c>
      <c r="L2" s="3"/>
      <c r="M2" s="3"/>
      <c r="P2" s="3"/>
    </row>
    <row r="3" spans="1:17" ht="15" customHeight="1" x14ac:dyDescent="0.25">
      <c r="A3" s="63"/>
      <c r="B3" s="64" t="s">
        <v>416</v>
      </c>
      <c r="C3" s="64" t="s">
        <v>417</v>
      </c>
      <c r="D3" s="64" t="s">
        <v>418</v>
      </c>
      <c r="E3" s="64" t="s">
        <v>212</v>
      </c>
      <c r="F3" s="64" t="s">
        <v>418</v>
      </c>
      <c r="G3" s="64" t="s">
        <v>581</v>
      </c>
      <c r="H3" s="64" t="s">
        <v>431</v>
      </c>
      <c r="I3" s="64" t="s">
        <v>419</v>
      </c>
      <c r="J3" s="64" t="s">
        <v>207</v>
      </c>
      <c r="K3" s="64" t="s">
        <v>207</v>
      </c>
    </row>
    <row r="4" spans="1:17" ht="15" customHeight="1" x14ac:dyDescent="0.25">
      <c r="A4" s="329" t="s">
        <v>592</v>
      </c>
      <c r="B4" s="66">
        <f>+Dados!B6</f>
        <v>2</v>
      </c>
      <c r="C4" s="67">
        <f>+'Vel  EfC'!C56</f>
        <v>3</v>
      </c>
      <c r="D4" s="66">
        <f t="shared" ref="D4" si="0">(B4*C4)/10</f>
        <v>0.6</v>
      </c>
      <c r="E4" s="68">
        <f>+'Vel  EfC'!E56</f>
        <v>80</v>
      </c>
      <c r="F4" s="66">
        <f t="shared" ref="F4" si="1">(D4*E4)/100</f>
        <v>0.48</v>
      </c>
      <c r="G4" s="68">
        <v>1</v>
      </c>
      <c r="H4" s="66">
        <f t="shared" ref="H4" si="2">1/F4*G4</f>
        <v>2.0833333333333335</v>
      </c>
      <c r="I4" s="66">
        <v>1</v>
      </c>
      <c r="J4" s="66">
        <f t="shared" ref="J4" si="3">+H4*I4</f>
        <v>2.0833333333333335</v>
      </c>
      <c r="K4" s="68">
        <f>+J4</f>
        <v>2.0833333333333335</v>
      </c>
      <c r="M4" s="3"/>
      <c r="P4" s="3"/>
    </row>
    <row r="5" spans="1:17" ht="15" customHeight="1" x14ac:dyDescent="0.25">
      <c r="A5" s="320"/>
      <c r="B5" s="69"/>
      <c r="C5" s="66"/>
      <c r="D5" s="67"/>
      <c r="E5" s="66"/>
      <c r="F5" s="68"/>
      <c r="G5" s="66"/>
      <c r="H5" s="68"/>
      <c r="I5" s="66"/>
      <c r="J5" s="68"/>
      <c r="K5" s="68"/>
      <c r="L5" s="3"/>
      <c r="M5" s="7"/>
      <c r="P5" s="3"/>
    </row>
    <row r="6" spans="1:17" ht="15" customHeight="1" x14ac:dyDescent="0.25">
      <c r="A6" s="320"/>
      <c r="B6" s="68" t="s">
        <v>420</v>
      </c>
      <c r="C6" s="68" t="s">
        <v>421</v>
      </c>
      <c r="D6" s="68" t="s">
        <v>210</v>
      </c>
      <c r="E6" s="68" t="s">
        <v>510</v>
      </c>
      <c r="F6" s="68" t="s">
        <v>511</v>
      </c>
      <c r="G6" s="48" t="s">
        <v>512</v>
      </c>
      <c r="H6" s="48" t="s">
        <v>498</v>
      </c>
      <c r="I6" s="48" t="s">
        <v>422</v>
      </c>
      <c r="J6" s="71" t="s">
        <v>92</v>
      </c>
      <c r="K6" s="71" t="s">
        <v>94</v>
      </c>
      <c r="L6" s="3"/>
      <c r="M6" s="3"/>
      <c r="O6" s="3"/>
    </row>
    <row r="7" spans="1:17" ht="15" customHeight="1" x14ac:dyDescent="0.25">
      <c r="A7" s="320"/>
      <c r="B7" s="68" t="s">
        <v>205</v>
      </c>
      <c r="C7" s="68" t="s">
        <v>204</v>
      </c>
      <c r="D7" s="68" t="s">
        <v>206</v>
      </c>
      <c r="E7" s="68" t="s">
        <v>212</v>
      </c>
      <c r="F7" s="68" t="s">
        <v>212</v>
      </c>
      <c r="G7" s="48" t="s">
        <v>208</v>
      </c>
      <c r="H7" s="48" t="s">
        <v>208</v>
      </c>
      <c r="I7" s="48" t="s">
        <v>208</v>
      </c>
      <c r="J7" s="71" t="s">
        <v>208</v>
      </c>
      <c r="K7" s="71" t="s">
        <v>61</v>
      </c>
      <c r="L7" s="3"/>
      <c r="M7" s="3"/>
      <c r="P7" s="3"/>
    </row>
    <row r="8" spans="1:17" ht="15" customHeight="1" x14ac:dyDescent="0.25">
      <c r="A8" s="320"/>
      <c r="B8" s="68">
        <f>+IHERA_Eq!F240</f>
        <v>5000</v>
      </c>
      <c r="C8" s="68">
        <v>0</v>
      </c>
      <c r="D8" s="68">
        <f>+IHERA_Eq!H240</f>
        <v>10</v>
      </c>
      <c r="E8" s="66">
        <f>+IHERA_Eq!L1</f>
        <v>3</v>
      </c>
      <c r="F8" s="66">
        <v>0</v>
      </c>
      <c r="G8" s="66">
        <f>(B8)/(K4*D8)</f>
        <v>239.99999999999997</v>
      </c>
      <c r="H8" s="66">
        <f>((B8)/(2*K4))*(E8/100)</f>
        <v>36</v>
      </c>
      <c r="I8" s="66">
        <f>((B8)/(2*K4)*(F8/100))</f>
        <v>0</v>
      </c>
      <c r="J8" s="66">
        <f t="shared" ref="J8" si="4">G8+H8+I8</f>
        <v>276</v>
      </c>
      <c r="K8" s="66">
        <f>+J8*H4</f>
        <v>575</v>
      </c>
      <c r="L8" s="3"/>
      <c r="M8" s="3"/>
      <c r="P8" s="3"/>
    </row>
    <row r="9" spans="1:17" ht="15" customHeight="1" x14ac:dyDescent="0.25">
      <c r="A9" s="320"/>
      <c r="B9" s="69"/>
      <c r="C9" s="66"/>
      <c r="D9" s="67"/>
      <c r="E9" s="66"/>
      <c r="F9" s="68"/>
      <c r="G9" s="66"/>
      <c r="H9" s="68"/>
      <c r="I9" s="66"/>
      <c r="J9" s="68"/>
      <c r="K9" s="68"/>
      <c r="L9" s="3"/>
    </row>
    <row r="10" spans="1:17" ht="15" customHeight="1" x14ac:dyDescent="0.25">
      <c r="A10" s="320"/>
      <c r="B10" s="69" t="s">
        <v>582</v>
      </c>
      <c r="C10" s="68" t="s">
        <v>513</v>
      </c>
      <c r="D10" s="68" t="s">
        <v>423</v>
      </c>
      <c r="E10" s="68" t="s">
        <v>514</v>
      </c>
      <c r="F10" s="48" t="s">
        <v>583</v>
      </c>
      <c r="G10" s="68" t="s">
        <v>516</v>
      </c>
      <c r="H10" s="68" t="s">
        <v>517</v>
      </c>
      <c r="I10" s="48" t="s">
        <v>518</v>
      </c>
      <c r="J10" s="70"/>
      <c r="K10" s="70"/>
      <c r="L10" s="3"/>
    </row>
    <row r="11" spans="1:17" ht="15" customHeight="1" x14ac:dyDescent="0.25">
      <c r="A11" s="320"/>
      <c r="B11" s="69" t="s">
        <v>204</v>
      </c>
      <c r="C11" s="68" t="s">
        <v>39</v>
      </c>
      <c r="D11" s="68" t="s">
        <v>424</v>
      </c>
      <c r="E11" s="68" t="s">
        <v>213</v>
      </c>
      <c r="F11" s="48" t="s">
        <v>208</v>
      </c>
      <c r="G11" s="68" t="s">
        <v>214</v>
      </c>
      <c r="H11" s="68" t="s">
        <v>213</v>
      </c>
      <c r="I11" s="48" t="s">
        <v>208</v>
      </c>
      <c r="J11" s="70"/>
      <c r="K11" s="70"/>
      <c r="L11" s="3"/>
    </row>
    <row r="12" spans="1:17" ht="15" customHeight="1" x14ac:dyDescent="0.25">
      <c r="A12" s="320"/>
      <c r="B12" s="63">
        <v>0</v>
      </c>
      <c r="C12" s="66">
        <v>0</v>
      </c>
      <c r="D12" s="66">
        <f>+B12*C12</f>
        <v>0</v>
      </c>
      <c r="E12" s="66">
        <v>0</v>
      </c>
      <c r="F12" s="66">
        <f>+D12*E12</f>
        <v>0</v>
      </c>
      <c r="G12" s="72">
        <v>0</v>
      </c>
      <c r="H12" s="66">
        <v>0</v>
      </c>
      <c r="I12" s="66">
        <f>C8*G12*H12</f>
        <v>0</v>
      </c>
      <c r="J12" s="70"/>
      <c r="K12" s="70"/>
      <c r="L12" s="3"/>
      <c r="M12" s="3"/>
      <c r="O12" s="3"/>
      <c r="Q12" s="79"/>
    </row>
    <row r="13" spans="1:17" ht="15" customHeight="1" x14ac:dyDescent="0.25">
      <c r="A13" s="320"/>
      <c r="B13" s="69"/>
      <c r="C13" s="66"/>
      <c r="D13" s="67"/>
      <c r="E13" s="66"/>
      <c r="F13" s="68"/>
      <c r="G13" s="66"/>
      <c r="H13" s="68"/>
      <c r="I13" s="66"/>
      <c r="J13" s="68"/>
      <c r="K13" s="68"/>
      <c r="L13" s="3"/>
      <c r="M13" s="3"/>
      <c r="P13" s="3"/>
    </row>
    <row r="14" spans="1:17" ht="15" customHeight="1" x14ac:dyDescent="0.25">
      <c r="A14" s="320"/>
      <c r="B14" s="68" t="s">
        <v>519</v>
      </c>
      <c r="C14" s="68" t="s">
        <v>520</v>
      </c>
      <c r="D14" s="48" t="s">
        <v>521</v>
      </c>
      <c r="E14" s="68" t="s">
        <v>584</v>
      </c>
      <c r="F14" s="48" t="s">
        <v>584</v>
      </c>
      <c r="G14" s="68" t="s">
        <v>585</v>
      </c>
      <c r="H14" s="68" t="s">
        <v>586</v>
      </c>
      <c r="I14" s="48" t="s">
        <v>524</v>
      </c>
      <c r="J14" s="71" t="s">
        <v>96</v>
      </c>
      <c r="K14" s="71" t="s">
        <v>98</v>
      </c>
      <c r="L14" s="3"/>
      <c r="M14" s="3"/>
      <c r="P14" s="3"/>
    </row>
    <row r="15" spans="1:17" ht="15" customHeight="1" x14ac:dyDescent="0.25">
      <c r="A15" s="320"/>
      <c r="B15" s="68" t="s">
        <v>205</v>
      </c>
      <c r="C15" s="68" t="s">
        <v>215</v>
      </c>
      <c r="D15" s="48" t="s">
        <v>208</v>
      </c>
      <c r="E15" s="68" t="s">
        <v>212</v>
      </c>
      <c r="F15" s="48" t="s">
        <v>208</v>
      </c>
      <c r="G15" s="68" t="s">
        <v>208</v>
      </c>
      <c r="H15" s="68" t="s">
        <v>587</v>
      </c>
      <c r="I15" s="48" t="s">
        <v>208</v>
      </c>
      <c r="J15" s="71" t="s">
        <v>208</v>
      </c>
      <c r="K15" s="71" t="s">
        <v>61</v>
      </c>
      <c r="L15" s="3"/>
    </row>
    <row r="16" spans="1:17" ht="15" customHeight="1" x14ac:dyDescent="0.25">
      <c r="A16" s="320"/>
      <c r="B16" s="68">
        <v>0</v>
      </c>
      <c r="C16" s="68">
        <v>0.1</v>
      </c>
      <c r="D16" s="66">
        <f>+B16/C16</f>
        <v>0</v>
      </c>
      <c r="E16" s="66">
        <f>+IHERA_Eq!J240</f>
        <v>0.04</v>
      </c>
      <c r="F16" s="66">
        <f>B8*(E16/100)</f>
        <v>2</v>
      </c>
      <c r="G16" s="68">
        <v>0</v>
      </c>
      <c r="H16" s="68">
        <v>10</v>
      </c>
      <c r="I16" s="68">
        <f>+G16*H16</f>
        <v>0</v>
      </c>
      <c r="J16" s="66">
        <f>F12+I12+D16+F16+I16</f>
        <v>2</v>
      </c>
      <c r="K16" s="66">
        <f>+J16*H4</f>
        <v>4.166666666666667</v>
      </c>
      <c r="M16" s="3"/>
      <c r="O16" s="3"/>
    </row>
    <row r="17" spans="1:16" ht="15" customHeight="1" x14ac:dyDescent="0.25">
      <c r="A17" s="63"/>
      <c r="B17" s="69"/>
      <c r="C17" s="66"/>
      <c r="D17" s="67"/>
      <c r="E17" s="66"/>
      <c r="F17" s="68"/>
      <c r="G17" s="66"/>
      <c r="H17" s="68"/>
      <c r="I17" s="66"/>
      <c r="J17" s="68"/>
      <c r="K17" s="68"/>
      <c r="L17" s="3"/>
      <c r="M17" s="3"/>
      <c r="P17" s="3"/>
    </row>
    <row r="18" spans="1:16" s="292" customFormat="1" ht="15" customHeight="1" x14ac:dyDescent="0.25">
      <c r="A18" s="21"/>
      <c r="B18" s="22"/>
      <c r="C18" s="332" t="s">
        <v>592</v>
      </c>
      <c r="D18" s="321"/>
      <c r="E18" s="321"/>
      <c r="F18" s="321"/>
      <c r="G18" s="330" t="s">
        <v>1044</v>
      </c>
      <c r="H18" s="331"/>
      <c r="I18" s="306">
        <f>+Trator60!A28</f>
        <v>150</v>
      </c>
      <c r="J18" s="332" t="s">
        <v>593</v>
      </c>
      <c r="K18" s="332"/>
      <c r="L18" s="307"/>
      <c r="M18" s="307"/>
      <c r="P18" s="307"/>
    </row>
    <row r="19" spans="1:16" ht="15" customHeight="1" x14ac:dyDescent="0.25">
      <c r="A19" s="68" t="s">
        <v>28</v>
      </c>
      <c r="B19" s="68" t="s">
        <v>588</v>
      </c>
      <c r="C19" s="73" t="s">
        <v>619</v>
      </c>
      <c r="D19" s="73" t="s">
        <v>620</v>
      </c>
      <c r="E19" s="73" t="s">
        <v>621</v>
      </c>
      <c r="F19" s="68" t="s">
        <v>622</v>
      </c>
      <c r="G19" s="46" t="s">
        <v>92</v>
      </c>
      <c r="H19" s="46" t="s">
        <v>96</v>
      </c>
      <c r="I19" s="85" t="s">
        <v>216</v>
      </c>
      <c r="J19" s="74" t="s">
        <v>589</v>
      </c>
      <c r="K19" s="74" t="s">
        <v>623</v>
      </c>
    </row>
    <row r="20" spans="1:16" ht="15" customHeight="1" x14ac:dyDescent="0.25">
      <c r="A20" s="68" t="s">
        <v>591</v>
      </c>
      <c r="B20" s="68" t="s">
        <v>207</v>
      </c>
      <c r="C20" s="68" t="s">
        <v>205</v>
      </c>
      <c r="D20" s="68" t="s">
        <v>205</v>
      </c>
      <c r="E20" s="68" t="s">
        <v>205</v>
      </c>
      <c r="F20" s="68" t="s">
        <v>205</v>
      </c>
      <c r="G20" s="46" t="s">
        <v>208</v>
      </c>
      <c r="H20" s="46" t="s">
        <v>208</v>
      </c>
      <c r="I20" s="85" t="s">
        <v>208</v>
      </c>
      <c r="J20" s="74" t="s">
        <v>205</v>
      </c>
      <c r="K20" s="74" t="s">
        <v>205</v>
      </c>
    </row>
    <row r="21" spans="1:16" ht="15" customHeight="1" x14ac:dyDescent="0.25">
      <c r="A21" s="68">
        <v>1</v>
      </c>
      <c r="B21" s="68">
        <f>+K4</f>
        <v>2.0833333333333335</v>
      </c>
      <c r="C21" s="66">
        <f>($B$8*0.9)/(B21*$D$8)+(($B$8*1.1)/(2*B21))*($E$8/100)+(($B$8*1.1)/(2*B21)*($F$8/100))</f>
        <v>255.59999999999997</v>
      </c>
      <c r="D21" s="66">
        <f>$D$12*$E$12+$C$8*$G$12*$H$12+$B$16/$C$16+$B$8*($E$16/100)+$G$16*$H$16</f>
        <v>2</v>
      </c>
      <c r="E21" s="66">
        <f>+C21+D21</f>
        <v>257.59999999999997</v>
      </c>
      <c r="F21" s="75">
        <f>+A21*E21</f>
        <v>257.59999999999997</v>
      </c>
      <c r="G21" s="75">
        <f>+Trator60!B28</f>
        <v>24.838716666666667</v>
      </c>
      <c r="H21" s="75">
        <f>+Trator60!C28</f>
        <v>16.310123333333333</v>
      </c>
      <c r="I21" s="77">
        <f>+Trator60!D28</f>
        <v>41.14884</v>
      </c>
      <c r="J21" s="77">
        <f>+E21+$I$21</f>
        <v>298.74883999999997</v>
      </c>
      <c r="K21" s="77">
        <f>+B21*J21</f>
        <v>622.39341666666667</v>
      </c>
    </row>
    <row r="22" spans="1:16" ht="15" customHeight="1" x14ac:dyDescent="0.25">
      <c r="A22" s="68">
        <f>+A21+2</f>
        <v>3</v>
      </c>
      <c r="B22" s="68">
        <f>+A22*$K$4</f>
        <v>6.25</v>
      </c>
      <c r="C22" s="66">
        <f t="shared" ref="C22:C32" si="5">($B$8*0.9)/(B22*$D$8)+(($B$8*1.1)/(2*B22))*($E$8/100)+(($B$8*1.1)/(2*B22)*($F$8/100))</f>
        <v>85.2</v>
      </c>
      <c r="D22" s="66">
        <f t="shared" ref="D22:D32" si="6">$D$12*$E$12+$C$8*$G$12*$H$12+$B$16/$C$16+$B$8*($E$16/100)+$G$16*$H$16</f>
        <v>2</v>
      </c>
      <c r="E22" s="66">
        <f t="shared" ref="E22" si="7">+C22+D22</f>
        <v>87.2</v>
      </c>
      <c r="F22" s="75">
        <f t="shared" ref="F22:F32" si="8">+A22*E22</f>
        <v>261.60000000000002</v>
      </c>
      <c r="G22" s="75"/>
      <c r="H22" s="75"/>
      <c r="I22" s="76"/>
      <c r="J22" s="77">
        <f t="shared" ref="J22:J30" si="9">+E22+$I$21</f>
        <v>128.34884</v>
      </c>
      <c r="K22" s="77">
        <f t="shared" ref="K22:K30" si="10">+B22*J22</f>
        <v>802.18025</v>
      </c>
    </row>
    <row r="23" spans="1:16" ht="15" customHeight="1" x14ac:dyDescent="0.25">
      <c r="A23" s="68">
        <f t="shared" ref="A23:A29" si="11">+A22+2</f>
        <v>5</v>
      </c>
      <c r="B23" s="68">
        <f t="shared" ref="B23:B32" si="12">+A23*$K$4</f>
        <v>10.416666666666668</v>
      </c>
      <c r="C23" s="66">
        <f t="shared" si="5"/>
        <v>51.11999999999999</v>
      </c>
      <c r="D23" s="66">
        <f t="shared" si="6"/>
        <v>2</v>
      </c>
      <c r="E23" s="66">
        <f t="shared" ref="E23" si="13">+C23+D23</f>
        <v>53.11999999999999</v>
      </c>
      <c r="F23" s="75">
        <f t="shared" si="8"/>
        <v>265.59999999999997</v>
      </c>
      <c r="G23" s="75"/>
      <c r="H23" s="75"/>
      <c r="I23" s="76"/>
      <c r="J23" s="77">
        <f t="shared" si="9"/>
        <v>94.268839999999983</v>
      </c>
      <c r="K23" s="77">
        <f t="shared" si="10"/>
        <v>981.96708333333322</v>
      </c>
    </row>
    <row r="24" spans="1:16" ht="15" customHeight="1" x14ac:dyDescent="0.25">
      <c r="A24" s="68">
        <f t="shared" si="11"/>
        <v>7</v>
      </c>
      <c r="B24" s="68">
        <f t="shared" si="12"/>
        <v>14.583333333333334</v>
      </c>
      <c r="C24" s="66">
        <f t="shared" si="5"/>
        <v>36.514285714285712</v>
      </c>
      <c r="D24" s="66">
        <f t="shared" si="6"/>
        <v>2</v>
      </c>
      <c r="E24" s="66">
        <f t="shared" ref="E24" si="14">+C24+D24</f>
        <v>38.514285714285712</v>
      </c>
      <c r="F24" s="75">
        <f t="shared" si="8"/>
        <v>269.59999999999997</v>
      </c>
      <c r="G24" s="75"/>
      <c r="H24" s="75"/>
      <c r="I24" s="76"/>
      <c r="J24" s="77">
        <f t="shared" si="9"/>
        <v>79.663125714285712</v>
      </c>
      <c r="K24" s="77">
        <f t="shared" si="10"/>
        <v>1161.7539166666668</v>
      </c>
    </row>
    <row r="25" spans="1:16" ht="15" customHeight="1" x14ac:dyDescent="0.25">
      <c r="A25" s="68">
        <f t="shared" si="11"/>
        <v>9</v>
      </c>
      <c r="B25" s="68">
        <f t="shared" si="12"/>
        <v>18.75</v>
      </c>
      <c r="C25" s="66">
        <f t="shared" si="5"/>
        <v>28.4</v>
      </c>
      <c r="D25" s="66">
        <f t="shared" si="6"/>
        <v>2</v>
      </c>
      <c r="E25" s="66">
        <f t="shared" ref="E25" si="15">+C25+D25</f>
        <v>30.4</v>
      </c>
      <c r="F25" s="75">
        <f t="shared" si="8"/>
        <v>273.59999999999997</v>
      </c>
      <c r="G25" s="75"/>
      <c r="H25" s="75"/>
      <c r="I25" s="76"/>
      <c r="J25" s="77">
        <f t="shared" si="9"/>
        <v>71.548839999999998</v>
      </c>
      <c r="K25" s="77">
        <f t="shared" si="10"/>
        <v>1341.5407499999999</v>
      </c>
    </row>
    <row r="26" spans="1:16" ht="15" customHeight="1" x14ac:dyDescent="0.25">
      <c r="A26" s="68">
        <f t="shared" si="11"/>
        <v>11</v>
      </c>
      <c r="B26" s="68">
        <f t="shared" si="12"/>
        <v>22.916666666666668</v>
      </c>
      <c r="C26" s="66">
        <f t="shared" si="5"/>
        <v>23.236363636363635</v>
      </c>
      <c r="D26" s="66">
        <f t="shared" si="6"/>
        <v>2</v>
      </c>
      <c r="E26" s="66">
        <f t="shared" ref="E26" si="16">+C26+D26</f>
        <v>25.236363636363635</v>
      </c>
      <c r="F26" s="75">
        <f t="shared" si="8"/>
        <v>277.59999999999997</v>
      </c>
      <c r="G26" s="75"/>
      <c r="H26" s="75"/>
      <c r="I26" s="76"/>
      <c r="J26" s="77">
        <f t="shared" si="9"/>
        <v>66.385203636363627</v>
      </c>
      <c r="K26" s="77">
        <f t="shared" si="10"/>
        <v>1521.3275833333332</v>
      </c>
    </row>
    <row r="27" spans="1:16" ht="15" customHeight="1" x14ac:dyDescent="0.25">
      <c r="A27" s="68">
        <f t="shared" si="11"/>
        <v>13</v>
      </c>
      <c r="B27" s="68">
        <f t="shared" si="12"/>
        <v>27.083333333333336</v>
      </c>
      <c r="C27" s="66">
        <f t="shared" si="5"/>
        <v>19.661538461538459</v>
      </c>
      <c r="D27" s="66">
        <f t="shared" si="6"/>
        <v>2</v>
      </c>
      <c r="E27" s="66">
        <f t="shared" ref="E27" si="17">+C27+D27</f>
        <v>21.661538461538459</v>
      </c>
      <c r="F27" s="75">
        <f t="shared" si="8"/>
        <v>281.59999999999997</v>
      </c>
      <c r="G27" s="75"/>
      <c r="H27" s="75"/>
      <c r="I27" s="76"/>
      <c r="J27" s="77">
        <f t="shared" si="9"/>
        <v>62.810378461538463</v>
      </c>
      <c r="K27" s="77">
        <f t="shared" si="10"/>
        <v>1701.1144166666668</v>
      </c>
    </row>
    <row r="28" spans="1:16" ht="15" customHeight="1" x14ac:dyDescent="0.25">
      <c r="A28" s="68">
        <f t="shared" si="11"/>
        <v>15</v>
      </c>
      <c r="B28" s="68">
        <f t="shared" si="12"/>
        <v>31.250000000000004</v>
      </c>
      <c r="C28" s="66">
        <f t="shared" si="5"/>
        <v>17.039999999999996</v>
      </c>
      <c r="D28" s="66">
        <f t="shared" si="6"/>
        <v>2</v>
      </c>
      <c r="E28" s="66">
        <f t="shared" ref="E28" si="18">+C28+D28</f>
        <v>19.039999999999996</v>
      </c>
      <c r="F28" s="75">
        <f t="shared" si="8"/>
        <v>285.59999999999991</v>
      </c>
      <c r="G28" s="75"/>
      <c r="H28" s="75"/>
      <c r="I28" s="76"/>
      <c r="J28" s="77">
        <f t="shared" si="9"/>
        <v>60.188839999999999</v>
      </c>
      <c r="K28" s="77">
        <f t="shared" si="10"/>
        <v>1880.9012500000001</v>
      </c>
    </row>
    <row r="29" spans="1:16" ht="15" customHeight="1" x14ac:dyDescent="0.25">
      <c r="A29" s="68">
        <f t="shared" si="11"/>
        <v>17</v>
      </c>
      <c r="B29" s="68">
        <f t="shared" si="12"/>
        <v>35.416666666666671</v>
      </c>
      <c r="C29" s="66">
        <f t="shared" si="5"/>
        <v>15.035294117647055</v>
      </c>
      <c r="D29" s="66">
        <f t="shared" si="6"/>
        <v>2</v>
      </c>
      <c r="E29" s="66">
        <f t="shared" ref="E29" si="19">+C29+D29</f>
        <v>17.035294117647055</v>
      </c>
      <c r="F29" s="75">
        <f t="shared" si="8"/>
        <v>289.59999999999991</v>
      </c>
      <c r="G29" s="75"/>
      <c r="H29" s="75"/>
      <c r="I29" s="76"/>
      <c r="J29" s="77">
        <f t="shared" si="9"/>
        <v>58.184134117647055</v>
      </c>
      <c r="K29" s="77">
        <f t="shared" si="10"/>
        <v>2060.6880833333335</v>
      </c>
    </row>
    <row r="30" spans="1:16" ht="15" customHeight="1" x14ac:dyDescent="0.25">
      <c r="A30" s="68">
        <f>+A29+3</f>
        <v>20</v>
      </c>
      <c r="B30" s="68">
        <f t="shared" si="12"/>
        <v>41.666666666666671</v>
      </c>
      <c r="C30" s="66">
        <f t="shared" si="5"/>
        <v>12.779999999999998</v>
      </c>
      <c r="D30" s="66">
        <f t="shared" si="6"/>
        <v>2</v>
      </c>
      <c r="E30" s="66">
        <f t="shared" ref="E30:E32" si="20">+C30+D30</f>
        <v>14.779999999999998</v>
      </c>
      <c r="F30" s="75">
        <f t="shared" si="8"/>
        <v>295.59999999999997</v>
      </c>
      <c r="G30" s="75"/>
      <c r="H30" s="75"/>
      <c r="I30" s="76"/>
      <c r="J30" s="77">
        <f t="shared" si="9"/>
        <v>55.928839999999994</v>
      </c>
      <c r="K30" s="77">
        <f t="shared" si="10"/>
        <v>2330.3683333333333</v>
      </c>
    </row>
    <row r="31" spans="1:16" s="80" customFormat="1" ht="15" customHeight="1" x14ac:dyDescent="0.25">
      <c r="A31" s="325" t="s">
        <v>614</v>
      </c>
      <c r="B31" s="326"/>
      <c r="C31" s="326"/>
      <c r="D31" s="326"/>
      <c r="E31" s="326"/>
      <c r="F31" s="326"/>
      <c r="G31" s="326"/>
      <c r="H31" s="326"/>
      <c r="I31" s="326"/>
      <c r="J31" s="326"/>
      <c r="K31" s="326"/>
    </row>
    <row r="32" spans="1:16" s="80" customFormat="1" ht="15" customHeight="1" x14ac:dyDescent="0.25">
      <c r="A32" s="97">
        <f>+Dados!B5</f>
        <v>9</v>
      </c>
      <c r="B32" s="98">
        <f t="shared" si="12"/>
        <v>18.75</v>
      </c>
      <c r="C32" s="51">
        <f t="shared" si="5"/>
        <v>28.4</v>
      </c>
      <c r="D32" s="51">
        <f t="shared" si="6"/>
        <v>2</v>
      </c>
      <c r="E32" s="51">
        <f t="shared" si="20"/>
        <v>30.4</v>
      </c>
      <c r="F32" s="53">
        <f t="shared" si="8"/>
        <v>273.59999999999997</v>
      </c>
      <c r="G32" s="53"/>
      <c r="H32" s="53"/>
      <c r="I32" s="99"/>
      <c r="J32" s="100">
        <f t="shared" ref="J32" si="21">+E32+$G$21</f>
        <v>55.238716666666662</v>
      </c>
      <c r="K32" s="100">
        <f t="shared" ref="K32" si="22">+B32*J32</f>
        <v>1035.7259374999999</v>
      </c>
    </row>
    <row r="33" spans="1:15" s="80" customFormat="1" ht="15" customHeight="1" x14ac:dyDescent="0.25">
      <c r="A33" s="68"/>
      <c r="B33" s="68"/>
      <c r="C33" s="63"/>
      <c r="D33" s="66"/>
      <c r="E33" s="75"/>
      <c r="F33" s="73"/>
      <c r="G33" s="75"/>
      <c r="H33" s="75"/>
      <c r="I33" s="76"/>
      <c r="J33" s="77"/>
      <c r="K33" s="77"/>
    </row>
    <row r="34" spans="1:15" ht="15" customHeight="1" x14ac:dyDescent="0.25">
      <c r="A34" s="68"/>
      <c r="B34" s="55"/>
      <c r="C34" s="55"/>
      <c r="D34" s="55"/>
      <c r="E34" s="55"/>
      <c r="F34" s="55"/>
      <c r="G34" s="55"/>
      <c r="H34" s="55"/>
      <c r="I34" s="55"/>
      <c r="J34" s="55"/>
      <c r="K34" s="55"/>
    </row>
    <row r="35" spans="1:15" x14ac:dyDescent="0.25">
      <c r="A35" s="3"/>
      <c r="B35" s="3"/>
      <c r="C35" s="3"/>
      <c r="D35" s="3"/>
      <c r="E35" s="3"/>
      <c r="G35" s="3"/>
    </row>
    <row r="36" spans="1:15" x14ac:dyDescent="0.25">
      <c r="A36" s="3"/>
      <c r="B36" s="3"/>
      <c r="C36" s="3"/>
      <c r="D36" s="3"/>
      <c r="E36" s="3"/>
      <c r="G36" s="3"/>
    </row>
    <row r="37" spans="1:15" x14ac:dyDescent="0.25">
      <c r="A37" s="3"/>
      <c r="B37" s="3"/>
      <c r="C37" s="3"/>
      <c r="D37" s="3"/>
      <c r="E37" s="3"/>
      <c r="G37" s="3"/>
    </row>
    <row r="38" spans="1:15" x14ac:dyDescent="0.25">
      <c r="A38" s="3"/>
      <c r="B38" s="3"/>
      <c r="C38" s="3"/>
      <c r="D38" s="3"/>
      <c r="E38" s="3"/>
      <c r="G38" s="3"/>
    </row>
    <row r="39" spans="1:15" x14ac:dyDescent="0.25">
      <c r="A39" s="3"/>
      <c r="B39" s="3"/>
      <c r="C39" s="3"/>
      <c r="D39" s="3"/>
      <c r="E39" s="3"/>
      <c r="G39" s="3"/>
    </row>
    <row r="40" spans="1:15" x14ac:dyDescent="0.25">
      <c r="B40" s="4"/>
    </row>
    <row r="41" spans="1:15" x14ac:dyDescent="0.25">
      <c r="B41" s="5"/>
      <c r="D41" s="5"/>
      <c r="M41" s="5"/>
    </row>
    <row r="42" spans="1:15" x14ac:dyDescent="0.25">
      <c r="B42" s="4"/>
    </row>
    <row r="43" spans="1:15" x14ac:dyDescent="0.25">
      <c r="B43" s="4"/>
    </row>
    <row r="44" spans="1:15" x14ac:dyDescent="0.25">
      <c r="B44" s="4"/>
    </row>
    <row r="45" spans="1:15" x14ac:dyDescent="0.25">
      <c r="B45" s="4"/>
    </row>
    <row r="46" spans="1:15" x14ac:dyDescent="0.25">
      <c r="B46" s="4"/>
    </row>
    <row r="47" spans="1:15" x14ac:dyDescent="0.25">
      <c r="B47" s="4"/>
    </row>
    <row r="48" spans="1:15" ht="13.8" x14ac:dyDescent="0.25">
      <c r="M48" s="1"/>
      <c r="O48" s="6"/>
    </row>
    <row r="49" spans="2:16" ht="13.8" x14ac:dyDescent="0.25">
      <c r="M49" s="1"/>
    </row>
    <row r="50" spans="2:16" x14ac:dyDescent="0.25">
      <c r="B50" s="4"/>
    </row>
    <row r="51" spans="2:16" x14ac:dyDescent="0.25">
      <c r="M51" s="5"/>
    </row>
    <row r="52" spans="2:16" x14ac:dyDescent="0.25">
      <c r="B52" s="4"/>
    </row>
    <row r="53" spans="2:16" x14ac:dyDescent="0.25">
      <c r="B53" s="4"/>
      <c r="C53" s="4"/>
      <c r="D53" s="4"/>
      <c r="E53" s="4"/>
      <c r="F53" s="4"/>
      <c r="H53" s="4"/>
      <c r="J53" s="4"/>
      <c r="L53" s="4"/>
      <c r="M53" s="4"/>
      <c r="N53" s="4"/>
      <c r="P53" s="4"/>
    </row>
  </sheetData>
  <mergeCells count="6">
    <mergeCell ref="A31:K31"/>
    <mergeCell ref="B1:K1"/>
    <mergeCell ref="A4:A16"/>
    <mergeCell ref="G18:H18"/>
    <mergeCell ref="J18:K18"/>
    <mergeCell ref="C18:F18"/>
  </mergeCells>
  <hyperlinks>
    <hyperlink ref="A1" location="Indice!A1" display="Índice"/>
  </hyperlinks>
  <printOptions horizontalCentered="1" verticalCentered="1" gridLines="1"/>
  <pageMargins left="7.874015748031496E-2" right="7.874015748031496E-2" top="7.874015748031496E-2" bottom="7.874015748031496E-2" header="0.31496062992125984" footer="0.31496062992125984"/>
  <pageSetup fitToWidth="0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zoomScaleSheetLayoutView="100" workbookViewId="0">
      <pane ySplit="1" topLeftCell="A2" activePane="bottomLeft" state="frozen"/>
      <selection pane="bottomLeft" activeCell="I9" sqref="I9"/>
    </sheetView>
  </sheetViews>
  <sheetFormatPr defaultColWidth="8" defaultRowHeight="13.2" x14ac:dyDescent="0.25"/>
  <cols>
    <col min="1" max="1" width="12.33203125" customWidth="1"/>
    <col min="2" max="9" width="8.6640625" customWidth="1"/>
    <col min="10" max="10" width="10.88671875" customWidth="1"/>
    <col min="11" max="11" width="8.6640625" customWidth="1"/>
  </cols>
  <sheetData>
    <row r="1" spans="1:11" ht="15" customHeight="1" x14ac:dyDescent="0.3">
      <c r="A1" s="297" t="s">
        <v>869</v>
      </c>
      <c r="B1" s="327" t="s">
        <v>595</v>
      </c>
      <c r="C1" s="328"/>
      <c r="D1" s="328"/>
      <c r="E1" s="328"/>
      <c r="F1" s="328"/>
      <c r="G1" s="328"/>
      <c r="H1" s="328"/>
      <c r="I1" s="328"/>
      <c r="J1" s="328"/>
      <c r="K1" s="328"/>
    </row>
    <row r="2" spans="1:11" ht="15" customHeight="1" x14ac:dyDescent="0.25">
      <c r="A2" s="63"/>
      <c r="B2" s="64" t="s">
        <v>100</v>
      </c>
      <c r="C2" s="64" t="s">
        <v>149</v>
      </c>
      <c r="D2" s="64" t="s">
        <v>35</v>
      </c>
      <c r="E2" s="64" t="s">
        <v>89</v>
      </c>
      <c r="F2" s="64" t="s">
        <v>32</v>
      </c>
      <c r="G2" s="64" t="s">
        <v>577</v>
      </c>
      <c r="H2" s="64" t="s">
        <v>131</v>
      </c>
      <c r="I2" s="64" t="s">
        <v>578</v>
      </c>
      <c r="J2" s="64" t="s">
        <v>579</v>
      </c>
      <c r="K2" s="65" t="s">
        <v>580</v>
      </c>
    </row>
    <row r="3" spans="1:11" ht="15" customHeight="1" x14ac:dyDescent="0.25">
      <c r="A3" s="63"/>
      <c r="B3" s="64" t="s">
        <v>416</v>
      </c>
      <c r="C3" s="64" t="s">
        <v>417</v>
      </c>
      <c r="D3" s="64" t="s">
        <v>418</v>
      </c>
      <c r="E3" s="64" t="s">
        <v>212</v>
      </c>
      <c r="F3" s="64" t="s">
        <v>418</v>
      </c>
      <c r="G3" s="64" t="s">
        <v>581</v>
      </c>
      <c r="H3" s="64" t="s">
        <v>431</v>
      </c>
      <c r="I3" s="64" t="s">
        <v>419</v>
      </c>
      <c r="J3" s="64" t="s">
        <v>207</v>
      </c>
      <c r="K3" s="64" t="s">
        <v>207</v>
      </c>
    </row>
    <row r="4" spans="1:11" ht="15" customHeight="1" x14ac:dyDescent="0.25">
      <c r="A4" s="329" t="s">
        <v>596</v>
      </c>
      <c r="B4" s="66">
        <f>+Dados!B6</f>
        <v>2</v>
      </c>
      <c r="C4" s="67">
        <f>+'Vel  EfC'!C59</f>
        <v>3</v>
      </c>
      <c r="D4" s="66">
        <f t="shared" ref="D4" si="0">(B4*C4)/10</f>
        <v>0.6</v>
      </c>
      <c r="E4" s="68">
        <f>+'Vel  EfC'!E59</f>
        <v>80</v>
      </c>
      <c r="F4" s="66">
        <f t="shared" ref="F4" si="1">(D4*E4)/100</f>
        <v>0.48</v>
      </c>
      <c r="G4" s="68">
        <v>1</v>
      </c>
      <c r="H4" s="66">
        <f t="shared" ref="H4" si="2">1/F4*G4</f>
        <v>2.0833333333333335</v>
      </c>
      <c r="I4" s="66">
        <v>1</v>
      </c>
      <c r="J4" s="66">
        <f t="shared" ref="J4" si="3">+H4*I4</f>
        <v>2.0833333333333335</v>
      </c>
      <c r="K4" s="68">
        <f>+J4</f>
        <v>2.0833333333333335</v>
      </c>
    </row>
    <row r="5" spans="1:11" ht="15" customHeight="1" x14ac:dyDescent="0.25">
      <c r="A5" s="320"/>
      <c r="B5" s="69"/>
      <c r="C5" s="66"/>
      <c r="D5" s="67"/>
      <c r="E5" s="66"/>
      <c r="F5" s="68"/>
      <c r="G5" s="66"/>
      <c r="H5" s="68"/>
      <c r="I5" s="66"/>
      <c r="J5" s="68"/>
      <c r="K5" s="68"/>
    </row>
    <row r="6" spans="1:11" ht="15" customHeight="1" x14ac:dyDescent="0.25">
      <c r="A6" s="320"/>
      <c r="B6" s="68" t="s">
        <v>420</v>
      </c>
      <c r="C6" s="68" t="s">
        <v>421</v>
      </c>
      <c r="D6" s="68" t="s">
        <v>210</v>
      </c>
      <c r="E6" s="68" t="s">
        <v>510</v>
      </c>
      <c r="F6" s="68" t="s">
        <v>511</v>
      </c>
      <c r="G6" s="48" t="s">
        <v>512</v>
      </c>
      <c r="H6" s="48" t="s">
        <v>498</v>
      </c>
      <c r="I6" s="48" t="s">
        <v>422</v>
      </c>
      <c r="J6" s="71" t="s">
        <v>92</v>
      </c>
      <c r="K6" s="71" t="s">
        <v>94</v>
      </c>
    </row>
    <row r="7" spans="1:11" ht="15" customHeight="1" x14ac:dyDescent="0.25">
      <c r="A7" s="320"/>
      <c r="B7" s="68" t="s">
        <v>205</v>
      </c>
      <c r="C7" s="68" t="s">
        <v>204</v>
      </c>
      <c r="D7" s="68" t="s">
        <v>206</v>
      </c>
      <c r="E7" s="68" t="s">
        <v>212</v>
      </c>
      <c r="F7" s="68" t="s">
        <v>212</v>
      </c>
      <c r="G7" s="48" t="s">
        <v>208</v>
      </c>
      <c r="H7" s="48" t="s">
        <v>208</v>
      </c>
      <c r="I7" s="48" t="s">
        <v>208</v>
      </c>
      <c r="J7" s="71" t="s">
        <v>208</v>
      </c>
      <c r="K7" s="71" t="s">
        <v>61</v>
      </c>
    </row>
    <row r="8" spans="1:11" ht="15" customHeight="1" x14ac:dyDescent="0.25">
      <c r="A8" s="320"/>
      <c r="B8" s="68">
        <f>+IHERA_Eq!F243</f>
        <v>2500</v>
      </c>
      <c r="C8" s="68">
        <v>0</v>
      </c>
      <c r="D8" s="68">
        <f>+IHERA_Eq!H243</f>
        <v>10</v>
      </c>
      <c r="E8" s="66">
        <f>+IHERA_Eq!L1</f>
        <v>3</v>
      </c>
      <c r="F8" s="66">
        <v>0</v>
      </c>
      <c r="G8" s="66">
        <f>(B8)/(K4*D8)</f>
        <v>119.99999999999999</v>
      </c>
      <c r="H8" s="66">
        <f>((B8)/(2*K4))*(E8/100)</f>
        <v>18</v>
      </c>
      <c r="I8" s="66">
        <f>((B8)/(2*K4)*(F8/100))</f>
        <v>0</v>
      </c>
      <c r="J8" s="66">
        <f t="shared" ref="J8" si="4">G8+H8+I8</f>
        <v>138</v>
      </c>
      <c r="K8" s="66">
        <f>+J8*H4</f>
        <v>287.5</v>
      </c>
    </row>
    <row r="9" spans="1:11" ht="15" customHeight="1" x14ac:dyDescent="0.25">
      <c r="A9" s="320"/>
      <c r="B9" s="69"/>
      <c r="C9" s="66"/>
      <c r="D9" s="67"/>
      <c r="E9" s="66"/>
      <c r="F9" s="68"/>
      <c r="G9" s="66"/>
      <c r="H9" s="68"/>
      <c r="I9" s="66"/>
      <c r="J9" s="68"/>
      <c r="K9" s="68"/>
    </row>
    <row r="10" spans="1:11" ht="15" customHeight="1" x14ac:dyDescent="0.25">
      <c r="A10" s="320"/>
      <c r="B10" s="69" t="s">
        <v>582</v>
      </c>
      <c r="C10" s="68" t="s">
        <v>513</v>
      </c>
      <c r="D10" s="68" t="s">
        <v>423</v>
      </c>
      <c r="E10" s="68" t="s">
        <v>514</v>
      </c>
      <c r="F10" s="48" t="s">
        <v>583</v>
      </c>
      <c r="G10" s="68" t="s">
        <v>516</v>
      </c>
      <c r="H10" s="68" t="s">
        <v>517</v>
      </c>
      <c r="I10" s="48" t="s">
        <v>518</v>
      </c>
      <c r="J10" s="70"/>
      <c r="K10" s="70"/>
    </row>
    <row r="11" spans="1:11" ht="15" customHeight="1" x14ac:dyDescent="0.25">
      <c r="A11" s="320"/>
      <c r="B11" s="69" t="s">
        <v>204</v>
      </c>
      <c r="C11" s="68" t="s">
        <v>39</v>
      </c>
      <c r="D11" s="68" t="s">
        <v>424</v>
      </c>
      <c r="E11" s="68" t="s">
        <v>213</v>
      </c>
      <c r="F11" s="48" t="s">
        <v>208</v>
      </c>
      <c r="G11" s="68" t="s">
        <v>214</v>
      </c>
      <c r="H11" s="68" t="s">
        <v>213</v>
      </c>
      <c r="I11" s="48" t="s">
        <v>208</v>
      </c>
      <c r="J11" s="70"/>
      <c r="K11" s="70"/>
    </row>
    <row r="12" spans="1:11" ht="15" customHeight="1" x14ac:dyDescent="0.25">
      <c r="A12" s="320"/>
      <c r="B12" s="63">
        <v>0</v>
      </c>
      <c r="C12" s="66">
        <v>0</v>
      </c>
      <c r="D12" s="66">
        <f>+B12*C12</f>
        <v>0</v>
      </c>
      <c r="E12" s="66">
        <v>0</v>
      </c>
      <c r="F12" s="66">
        <f>+D12*E12</f>
        <v>0</v>
      </c>
      <c r="G12" s="72">
        <v>0</v>
      </c>
      <c r="H12" s="66">
        <v>0</v>
      </c>
      <c r="I12" s="66">
        <f>C8*G12*H12</f>
        <v>0</v>
      </c>
      <c r="J12" s="70"/>
      <c r="K12" s="70"/>
    </row>
    <row r="13" spans="1:11" ht="15" customHeight="1" x14ac:dyDescent="0.25">
      <c r="A13" s="320"/>
      <c r="B13" s="69"/>
      <c r="C13" s="66"/>
      <c r="D13" s="67"/>
      <c r="E13" s="66"/>
      <c r="F13" s="68"/>
      <c r="G13" s="66"/>
      <c r="H13" s="68"/>
      <c r="I13" s="66"/>
      <c r="J13" s="68"/>
      <c r="K13" s="68"/>
    </row>
    <row r="14" spans="1:11" ht="15" customHeight="1" x14ac:dyDescent="0.25">
      <c r="A14" s="320"/>
      <c r="B14" s="68" t="s">
        <v>519</v>
      </c>
      <c r="C14" s="68" t="s">
        <v>520</v>
      </c>
      <c r="D14" s="48" t="s">
        <v>521</v>
      </c>
      <c r="E14" s="68" t="s">
        <v>584</v>
      </c>
      <c r="F14" s="48" t="s">
        <v>584</v>
      </c>
      <c r="G14" s="68" t="s">
        <v>585</v>
      </c>
      <c r="H14" s="68" t="s">
        <v>586</v>
      </c>
      <c r="I14" s="48" t="s">
        <v>524</v>
      </c>
      <c r="J14" s="71" t="s">
        <v>96</v>
      </c>
      <c r="K14" s="71" t="s">
        <v>98</v>
      </c>
    </row>
    <row r="15" spans="1:11" ht="15" customHeight="1" x14ac:dyDescent="0.25">
      <c r="A15" s="320"/>
      <c r="B15" s="68" t="s">
        <v>205</v>
      </c>
      <c r="C15" s="68" t="s">
        <v>215</v>
      </c>
      <c r="D15" s="48" t="s">
        <v>208</v>
      </c>
      <c r="E15" s="68" t="s">
        <v>212</v>
      </c>
      <c r="F15" s="48" t="s">
        <v>208</v>
      </c>
      <c r="G15" s="68" t="s">
        <v>208</v>
      </c>
      <c r="H15" s="68" t="s">
        <v>587</v>
      </c>
      <c r="I15" s="48" t="s">
        <v>208</v>
      </c>
      <c r="J15" s="71" t="s">
        <v>208</v>
      </c>
      <c r="K15" s="71" t="s">
        <v>61</v>
      </c>
    </row>
    <row r="16" spans="1:11" ht="15" customHeight="1" x14ac:dyDescent="0.25">
      <c r="A16" s="320"/>
      <c r="B16" s="68">
        <v>0</v>
      </c>
      <c r="C16" s="68">
        <v>0.1</v>
      </c>
      <c r="D16" s="66">
        <f>+B16/C16</f>
        <v>0</v>
      </c>
      <c r="E16" s="66">
        <f>+IHERA_Eq!J243</f>
        <v>0.04</v>
      </c>
      <c r="F16" s="66">
        <f>B8*(E16/100)</f>
        <v>1</v>
      </c>
      <c r="G16" s="68">
        <v>0</v>
      </c>
      <c r="H16" s="68">
        <v>0</v>
      </c>
      <c r="I16" s="68">
        <f>+G16*H16</f>
        <v>0</v>
      </c>
      <c r="J16" s="66">
        <f>F12+I12+D16+F16+I16</f>
        <v>1</v>
      </c>
      <c r="K16" s="66">
        <f>+J16*H4</f>
        <v>2.0833333333333335</v>
      </c>
    </row>
    <row r="17" spans="1:11" ht="15" customHeight="1" x14ac:dyDescent="0.25">
      <c r="A17" s="63"/>
      <c r="B17" s="69"/>
      <c r="C17" s="66"/>
      <c r="D17" s="67"/>
      <c r="E17" s="66"/>
      <c r="F17" s="68"/>
      <c r="G17" s="66"/>
      <c r="H17" s="68"/>
      <c r="I17" s="66"/>
      <c r="J17" s="68"/>
      <c r="K17" s="68"/>
    </row>
    <row r="18" spans="1:11" s="314" customFormat="1" ht="15" customHeight="1" x14ac:dyDescent="0.25">
      <c r="A18" s="311"/>
      <c r="B18" s="312"/>
      <c r="C18" s="313"/>
      <c r="D18" s="333" t="s">
        <v>597</v>
      </c>
      <c r="E18" s="334"/>
      <c r="F18" s="293"/>
      <c r="G18" s="332" t="s">
        <v>1063</v>
      </c>
      <c r="H18" s="332"/>
      <c r="I18" s="306">
        <f>+Trator53!A28</f>
        <v>300</v>
      </c>
      <c r="J18" s="332" t="s">
        <v>598</v>
      </c>
      <c r="K18" s="334"/>
    </row>
    <row r="19" spans="1:11" ht="15" customHeight="1" x14ac:dyDescent="0.25">
      <c r="A19" s="68" t="s">
        <v>28</v>
      </c>
      <c r="B19" s="68" t="s">
        <v>588</v>
      </c>
      <c r="C19" s="73" t="s">
        <v>619</v>
      </c>
      <c r="D19" s="73" t="s">
        <v>620</v>
      </c>
      <c r="E19" s="73" t="s">
        <v>621</v>
      </c>
      <c r="F19" s="68" t="s">
        <v>622</v>
      </c>
      <c r="G19" s="46" t="s">
        <v>92</v>
      </c>
      <c r="H19" s="46" t="s">
        <v>96</v>
      </c>
      <c r="I19" s="85" t="s">
        <v>216</v>
      </c>
      <c r="J19" s="74" t="s">
        <v>589</v>
      </c>
      <c r="K19" s="74" t="s">
        <v>623</v>
      </c>
    </row>
    <row r="20" spans="1:11" ht="15" customHeight="1" x14ac:dyDescent="0.25">
      <c r="A20" s="68" t="s">
        <v>591</v>
      </c>
      <c r="B20" s="68" t="s">
        <v>207</v>
      </c>
      <c r="C20" s="68" t="s">
        <v>205</v>
      </c>
      <c r="D20" s="68" t="s">
        <v>205</v>
      </c>
      <c r="E20" s="68" t="s">
        <v>205</v>
      </c>
      <c r="F20" s="68" t="s">
        <v>205</v>
      </c>
      <c r="G20" s="46" t="s">
        <v>208</v>
      </c>
      <c r="H20" s="46" t="s">
        <v>208</v>
      </c>
      <c r="I20" s="85" t="s">
        <v>208</v>
      </c>
      <c r="J20" s="74" t="s">
        <v>205</v>
      </c>
      <c r="K20" s="74" t="s">
        <v>205</v>
      </c>
    </row>
    <row r="21" spans="1:11" ht="15" customHeight="1" x14ac:dyDescent="0.25">
      <c r="A21" s="68">
        <v>1</v>
      </c>
      <c r="B21" s="68">
        <f>+K4</f>
        <v>2.0833333333333335</v>
      </c>
      <c r="C21" s="66">
        <f>($B$8*0.9)/(B21*$D$8)+(($B$8*1.1)/(2*B21))*($E$8/100)+(($B$8*1.1)/(2*B21)*($F$8/100))</f>
        <v>127.79999999999998</v>
      </c>
      <c r="D21" s="66">
        <f>$D$12*$E$12+$C$8*$G$12*$H$12+$B$16/$C$16+$B$8*($E$16/100)+$G$16*$H$16</f>
        <v>1</v>
      </c>
      <c r="E21" s="75">
        <f>+C21+D21</f>
        <v>128.79999999999998</v>
      </c>
      <c r="F21" s="75">
        <f>+A21*E21</f>
        <v>128.79999999999998</v>
      </c>
      <c r="G21" s="75">
        <f>+Trator53!B28</f>
        <v>11.102966666666667</v>
      </c>
      <c r="H21" s="75">
        <f>+Trator53!C28</f>
        <v>15.650053333333332</v>
      </c>
      <c r="I21" s="77">
        <f>+G21+H21</f>
        <v>26.753019999999999</v>
      </c>
      <c r="J21" s="77">
        <f>+E21+$I$21</f>
        <v>155.55301999999998</v>
      </c>
      <c r="K21" s="77">
        <f>+B21*J21</f>
        <v>324.06879166666664</v>
      </c>
    </row>
    <row r="22" spans="1:11" ht="15" customHeight="1" x14ac:dyDescent="0.25">
      <c r="A22" s="68">
        <f>+A21+2</f>
        <v>3</v>
      </c>
      <c r="B22" s="68">
        <f>+A22*$K$4</f>
        <v>6.25</v>
      </c>
      <c r="C22" s="66">
        <f t="shared" ref="C22:C32" si="5">($B$8*0.9)/(B22*$D$8)+(($B$8*1.1)/(2*B22))*($E$8/100)+(($B$8*1.1)/(2*B22)*($F$8/100))</f>
        <v>42.6</v>
      </c>
      <c r="D22" s="66">
        <f t="shared" ref="D22:D32" si="6">$D$12*$E$12+$C$8*$G$12*$H$12+$B$16/$C$16+$B$8*($E$16/100)+$G$16*$H$16</f>
        <v>1</v>
      </c>
      <c r="E22" s="75">
        <f t="shared" ref="E22:E30" si="7">+C22+D22</f>
        <v>43.6</v>
      </c>
      <c r="F22" s="75">
        <f t="shared" ref="F22:F30" si="8">+A22*E22</f>
        <v>130.80000000000001</v>
      </c>
      <c r="G22" s="75"/>
      <c r="H22" s="75"/>
      <c r="I22" s="76"/>
      <c r="J22" s="77">
        <f t="shared" ref="J22:J30" si="9">+E22+$I$21</f>
        <v>70.353020000000001</v>
      </c>
      <c r="K22" s="77">
        <f t="shared" ref="K22:K30" si="10">+B22*J22</f>
        <v>439.70637499999998</v>
      </c>
    </row>
    <row r="23" spans="1:11" ht="15" customHeight="1" x14ac:dyDescent="0.25">
      <c r="A23" s="68">
        <f t="shared" ref="A23:A29" si="11">+A22+2</f>
        <v>5</v>
      </c>
      <c r="B23" s="68">
        <f t="shared" ref="B23:B30" si="12">+A23*$K$4</f>
        <v>10.416666666666668</v>
      </c>
      <c r="C23" s="66">
        <f t="shared" si="5"/>
        <v>25.559999999999995</v>
      </c>
      <c r="D23" s="66">
        <f t="shared" si="6"/>
        <v>1</v>
      </c>
      <c r="E23" s="75">
        <f t="shared" si="7"/>
        <v>26.559999999999995</v>
      </c>
      <c r="F23" s="75">
        <f t="shared" si="8"/>
        <v>132.79999999999998</v>
      </c>
      <c r="G23" s="75"/>
      <c r="H23" s="75"/>
      <c r="I23" s="76"/>
      <c r="J23" s="77">
        <f t="shared" si="9"/>
        <v>53.313019999999995</v>
      </c>
      <c r="K23" s="77">
        <f t="shared" si="10"/>
        <v>555.34395833333338</v>
      </c>
    </row>
    <row r="24" spans="1:11" ht="15" customHeight="1" x14ac:dyDescent="0.25">
      <c r="A24" s="68">
        <f t="shared" si="11"/>
        <v>7</v>
      </c>
      <c r="B24" s="68">
        <f t="shared" si="12"/>
        <v>14.583333333333334</v>
      </c>
      <c r="C24" s="66">
        <f t="shared" si="5"/>
        <v>18.257142857142856</v>
      </c>
      <c r="D24" s="66">
        <f t="shared" si="6"/>
        <v>1</v>
      </c>
      <c r="E24" s="75">
        <f t="shared" si="7"/>
        <v>19.257142857142856</v>
      </c>
      <c r="F24" s="75">
        <f t="shared" si="8"/>
        <v>134.79999999999998</v>
      </c>
      <c r="G24" s="75"/>
      <c r="H24" s="75"/>
      <c r="I24" s="76"/>
      <c r="J24" s="77">
        <f t="shared" si="9"/>
        <v>46.010162857142859</v>
      </c>
      <c r="K24" s="77">
        <f t="shared" si="10"/>
        <v>670.98154166666677</v>
      </c>
    </row>
    <row r="25" spans="1:11" ht="15" customHeight="1" x14ac:dyDescent="0.25">
      <c r="A25" s="68">
        <f t="shared" si="11"/>
        <v>9</v>
      </c>
      <c r="B25" s="68">
        <f t="shared" si="12"/>
        <v>18.75</v>
      </c>
      <c r="C25" s="66">
        <f t="shared" si="5"/>
        <v>14.2</v>
      </c>
      <c r="D25" s="66">
        <f t="shared" si="6"/>
        <v>1</v>
      </c>
      <c r="E25" s="75">
        <f t="shared" si="7"/>
        <v>15.2</v>
      </c>
      <c r="F25" s="75">
        <f t="shared" si="8"/>
        <v>136.79999999999998</v>
      </c>
      <c r="G25" s="75"/>
      <c r="H25" s="75"/>
      <c r="I25" s="76"/>
      <c r="J25" s="77">
        <f t="shared" si="9"/>
        <v>41.953019999999995</v>
      </c>
      <c r="K25" s="77">
        <f t="shared" si="10"/>
        <v>786.61912499999994</v>
      </c>
    </row>
    <row r="26" spans="1:11" ht="15" customHeight="1" x14ac:dyDescent="0.25">
      <c r="A26" s="68">
        <f t="shared" si="11"/>
        <v>11</v>
      </c>
      <c r="B26" s="68">
        <f t="shared" si="12"/>
        <v>22.916666666666668</v>
      </c>
      <c r="C26" s="66">
        <f t="shared" si="5"/>
        <v>11.618181818181817</v>
      </c>
      <c r="D26" s="66">
        <f t="shared" si="6"/>
        <v>1</v>
      </c>
      <c r="E26" s="75">
        <f t="shared" si="7"/>
        <v>12.618181818181817</v>
      </c>
      <c r="F26" s="75">
        <f t="shared" si="8"/>
        <v>138.79999999999998</v>
      </c>
      <c r="G26" s="75"/>
      <c r="H26" s="75"/>
      <c r="I26" s="76"/>
      <c r="J26" s="77">
        <f t="shared" si="9"/>
        <v>39.371201818181817</v>
      </c>
      <c r="K26" s="77">
        <f t="shared" si="10"/>
        <v>902.25670833333334</v>
      </c>
    </row>
    <row r="27" spans="1:11" ht="15" customHeight="1" x14ac:dyDescent="0.25">
      <c r="A27" s="68">
        <f t="shared" si="11"/>
        <v>13</v>
      </c>
      <c r="B27" s="68">
        <f t="shared" si="12"/>
        <v>27.083333333333336</v>
      </c>
      <c r="C27" s="66">
        <f t="shared" si="5"/>
        <v>9.8307692307692296</v>
      </c>
      <c r="D27" s="66">
        <f t="shared" si="6"/>
        <v>1</v>
      </c>
      <c r="E27" s="75">
        <f t="shared" si="7"/>
        <v>10.83076923076923</v>
      </c>
      <c r="F27" s="75">
        <f t="shared" si="8"/>
        <v>140.79999999999998</v>
      </c>
      <c r="G27" s="75"/>
      <c r="H27" s="75"/>
      <c r="I27" s="76"/>
      <c r="J27" s="77">
        <f t="shared" si="9"/>
        <v>37.583789230769227</v>
      </c>
      <c r="K27" s="77">
        <f t="shared" si="10"/>
        <v>1017.8942916666666</v>
      </c>
    </row>
    <row r="28" spans="1:11" ht="15" customHeight="1" x14ac:dyDescent="0.25">
      <c r="A28" s="68">
        <f t="shared" si="11"/>
        <v>15</v>
      </c>
      <c r="B28" s="68">
        <f t="shared" si="12"/>
        <v>31.250000000000004</v>
      </c>
      <c r="C28" s="66">
        <f t="shared" si="5"/>
        <v>8.5199999999999978</v>
      </c>
      <c r="D28" s="66">
        <f t="shared" si="6"/>
        <v>1</v>
      </c>
      <c r="E28" s="75">
        <f t="shared" si="7"/>
        <v>9.5199999999999978</v>
      </c>
      <c r="F28" s="75">
        <f t="shared" si="8"/>
        <v>142.79999999999995</v>
      </c>
      <c r="G28" s="75"/>
      <c r="H28" s="75"/>
      <c r="I28" s="76"/>
      <c r="J28" s="77">
        <f t="shared" si="9"/>
        <v>36.273019999999995</v>
      </c>
      <c r="K28" s="77">
        <f t="shared" si="10"/>
        <v>1133.5318749999999</v>
      </c>
    </row>
    <row r="29" spans="1:11" ht="15" customHeight="1" x14ac:dyDescent="0.25">
      <c r="A29" s="68">
        <f t="shared" si="11"/>
        <v>17</v>
      </c>
      <c r="B29" s="68">
        <f t="shared" si="12"/>
        <v>35.416666666666671</v>
      </c>
      <c r="C29" s="66">
        <f t="shared" si="5"/>
        <v>7.5176470588235276</v>
      </c>
      <c r="D29" s="66">
        <f t="shared" si="6"/>
        <v>1</v>
      </c>
      <c r="E29" s="75">
        <f t="shared" si="7"/>
        <v>8.5176470588235276</v>
      </c>
      <c r="F29" s="75">
        <f t="shared" si="8"/>
        <v>144.79999999999995</v>
      </c>
      <c r="G29" s="75"/>
      <c r="H29" s="75"/>
      <c r="I29" s="76"/>
      <c r="J29" s="77">
        <f t="shared" si="9"/>
        <v>35.270667058823527</v>
      </c>
      <c r="K29" s="77">
        <f t="shared" si="10"/>
        <v>1249.1694583333335</v>
      </c>
    </row>
    <row r="30" spans="1:11" ht="15" customHeight="1" x14ac:dyDescent="0.25">
      <c r="A30" s="68">
        <f>+A29+3</f>
        <v>20</v>
      </c>
      <c r="B30" s="68">
        <f t="shared" si="12"/>
        <v>41.666666666666671</v>
      </c>
      <c r="C30" s="66">
        <f t="shared" si="5"/>
        <v>6.3899999999999988</v>
      </c>
      <c r="D30" s="66">
        <f t="shared" si="6"/>
        <v>1</v>
      </c>
      <c r="E30" s="75">
        <f t="shared" si="7"/>
        <v>7.3899999999999988</v>
      </c>
      <c r="F30" s="75">
        <f t="shared" si="8"/>
        <v>147.79999999999998</v>
      </c>
      <c r="G30" s="75"/>
      <c r="H30" s="75"/>
      <c r="I30" s="76"/>
      <c r="J30" s="77">
        <f t="shared" si="9"/>
        <v>34.14302</v>
      </c>
      <c r="K30" s="77">
        <f t="shared" si="10"/>
        <v>1422.6258333333335</v>
      </c>
    </row>
    <row r="31" spans="1:11" s="80" customFormat="1" ht="15" customHeight="1" x14ac:dyDescent="0.25">
      <c r="A31" s="325" t="s">
        <v>614</v>
      </c>
      <c r="B31" s="326"/>
      <c r="C31" s="326"/>
      <c r="D31" s="326"/>
      <c r="E31" s="326"/>
      <c r="F31" s="326"/>
      <c r="G31" s="326"/>
      <c r="H31" s="326"/>
      <c r="I31" s="326"/>
      <c r="J31" s="326"/>
      <c r="K31" s="326"/>
    </row>
    <row r="32" spans="1:11" s="80" customFormat="1" ht="15" customHeight="1" x14ac:dyDescent="0.25">
      <c r="A32" s="97">
        <f>+Dados!B5</f>
        <v>9</v>
      </c>
      <c r="B32" s="98">
        <f t="shared" ref="B32" si="13">+A32*$K$4</f>
        <v>18.75</v>
      </c>
      <c r="C32" s="53">
        <f t="shared" si="5"/>
        <v>14.2</v>
      </c>
      <c r="D32" s="51">
        <f t="shared" si="6"/>
        <v>1</v>
      </c>
      <c r="E32" s="53">
        <f t="shared" ref="E32" si="14">+C32+D32</f>
        <v>15.2</v>
      </c>
      <c r="F32" s="53">
        <f>+E32*$H$4</f>
        <v>31.666666666666668</v>
      </c>
      <c r="G32" s="53"/>
      <c r="H32" s="53"/>
      <c r="I32" s="99"/>
      <c r="J32" s="100">
        <f t="shared" ref="J32" si="15">+E32+$I$21</f>
        <v>41.953019999999995</v>
      </c>
      <c r="K32" s="100">
        <f t="shared" ref="K32" si="16">+B32*J32</f>
        <v>786.61912499999994</v>
      </c>
    </row>
    <row r="33" spans="1:11" s="80" customFormat="1" ht="15" customHeight="1" x14ac:dyDescent="0.25">
      <c r="A33" s="68"/>
      <c r="B33" s="68"/>
      <c r="C33" s="63"/>
      <c r="D33" s="66"/>
      <c r="E33" s="75"/>
      <c r="F33" s="73"/>
      <c r="G33" s="75"/>
      <c r="H33" s="75"/>
      <c r="I33" s="76"/>
      <c r="J33" s="77"/>
      <c r="K33" s="77"/>
    </row>
    <row r="34" spans="1:11" x14ac:dyDescent="0.25">
      <c r="A34" s="3"/>
      <c r="B34" s="3"/>
      <c r="C34" s="3"/>
      <c r="D34" s="3"/>
      <c r="E34" s="3"/>
      <c r="F34" s="18"/>
      <c r="G34" s="3"/>
      <c r="H34" s="18"/>
      <c r="I34" s="18"/>
      <c r="J34" s="18"/>
      <c r="K34" s="18"/>
    </row>
    <row r="35" spans="1:11" x14ac:dyDescent="0.25">
      <c r="A35" s="3"/>
      <c r="B35" s="3"/>
      <c r="C35" s="3"/>
      <c r="D35" s="3"/>
      <c r="E35" s="3"/>
      <c r="F35" s="18"/>
      <c r="G35" s="3"/>
      <c r="H35" s="18"/>
      <c r="I35" s="18"/>
      <c r="J35" s="18"/>
      <c r="K35" s="18"/>
    </row>
    <row r="36" spans="1:11" x14ac:dyDescent="0.25">
      <c r="A36" s="3"/>
      <c r="B36" s="3"/>
      <c r="C36" s="3"/>
      <c r="D36" s="3"/>
      <c r="E36" s="3"/>
      <c r="F36" s="18"/>
      <c r="G36" s="3"/>
      <c r="H36" s="18"/>
      <c r="I36" s="18"/>
      <c r="J36" s="18"/>
      <c r="K36" s="18"/>
    </row>
    <row r="37" spans="1:11" x14ac:dyDescent="0.25">
      <c r="A37" s="3"/>
      <c r="B37" s="3"/>
      <c r="C37" s="3"/>
      <c r="D37" s="3"/>
      <c r="E37" s="3"/>
      <c r="F37" s="18"/>
      <c r="G37" s="3"/>
      <c r="H37" s="18"/>
      <c r="I37" s="18"/>
      <c r="J37" s="18"/>
      <c r="K37" s="18"/>
    </row>
    <row r="38" spans="1:11" x14ac:dyDescent="0.25">
      <c r="A38" s="3"/>
      <c r="B38" s="3"/>
      <c r="C38" s="3"/>
      <c r="D38" s="3"/>
      <c r="E38" s="3"/>
      <c r="F38" s="18"/>
      <c r="G38" s="3"/>
      <c r="H38" s="18"/>
      <c r="I38" s="18"/>
      <c r="J38" s="18"/>
      <c r="K38" s="18"/>
    </row>
    <row r="39" spans="1:11" x14ac:dyDescent="0.25">
      <c r="A39" s="18"/>
      <c r="B39" s="4"/>
      <c r="C39" s="18"/>
      <c r="D39" s="18"/>
      <c r="E39" s="18"/>
      <c r="F39" s="18"/>
      <c r="G39" s="18"/>
      <c r="H39" s="18"/>
      <c r="I39" s="18"/>
      <c r="J39" s="18"/>
      <c r="K39" s="18"/>
    </row>
    <row r="40" spans="1:11" x14ac:dyDescent="0.25">
      <c r="A40" s="18"/>
      <c r="B40" s="5"/>
      <c r="C40" s="18"/>
      <c r="D40" s="5"/>
      <c r="E40" s="18"/>
      <c r="F40" s="18"/>
      <c r="G40" s="18"/>
      <c r="H40" s="18"/>
      <c r="I40" s="18"/>
      <c r="J40" s="18"/>
      <c r="K40" s="18"/>
    </row>
    <row r="41" spans="1:11" x14ac:dyDescent="0.25">
      <c r="A41" s="18"/>
      <c r="B41" s="4"/>
      <c r="C41" s="18"/>
      <c r="D41" s="18"/>
      <c r="E41" s="18"/>
      <c r="F41" s="18"/>
      <c r="G41" s="18"/>
      <c r="H41" s="18"/>
      <c r="I41" s="18"/>
      <c r="J41" s="18"/>
      <c r="K41" s="18"/>
    </row>
    <row r="42" spans="1:11" x14ac:dyDescent="0.25">
      <c r="A42" s="18"/>
      <c r="B42" s="4"/>
      <c r="C42" s="18"/>
      <c r="D42" s="18"/>
      <c r="E42" s="18"/>
      <c r="F42" s="18"/>
      <c r="G42" s="18"/>
      <c r="H42" s="18"/>
      <c r="I42" s="18"/>
      <c r="J42" s="18"/>
      <c r="K42" s="18"/>
    </row>
    <row r="43" spans="1:11" x14ac:dyDescent="0.25">
      <c r="A43" s="18"/>
      <c r="B43" s="4"/>
      <c r="C43" s="18"/>
      <c r="D43" s="18"/>
      <c r="E43" s="18"/>
      <c r="F43" s="18"/>
      <c r="G43" s="18"/>
      <c r="H43" s="18"/>
      <c r="I43" s="18"/>
      <c r="J43" s="18"/>
      <c r="K43" s="18"/>
    </row>
    <row r="44" spans="1:11" x14ac:dyDescent="0.25">
      <c r="A44" s="18"/>
      <c r="B44" s="4"/>
      <c r="C44" s="18"/>
      <c r="D44" s="18"/>
      <c r="E44" s="18"/>
      <c r="F44" s="18"/>
      <c r="G44" s="18"/>
      <c r="H44" s="18"/>
      <c r="I44" s="18"/>
      <c r="J44" s="18"/>
      <c r="K44" s="18"/>
    </row>
    <row r="45" spans="1:11" x14ac:dyDescent="0.25">
      <c r="A45" s="18"/>
      <c r="B45" s="4"/>
      <c r="C45" s="18"/>
      <c r="D45" s="18"/>
      <c r="E45" s="18"/>
      <c r="F45" s="18"/>
      <c r="G45" s="18"/>
      <c r="H45" s="18"/>
      <c r="I45" s="18"/>
      <c r="J45" s="18"/>
      <c r="K45" s="18"/>
    </row>
    <row r="46" spans="1:11" x14ac:dyDescent="0.25">
      <c r="A46" s="18"/>
      <c r="B46" s="4"/>
      <c r="C46" s="18"/>
      <c r="D46" s="18"/>
      <c r="E46" s="18"/>
      <c r="F46" s="18"/>
      <c r="G46" s="18"/>
      <c r="H46" s="18"/>
      <c r="I46" s="18"/>
      <c r="J46" s="18"/>
      <c r="K46" s="18"/>
    </row>
    <row r="47" spans="1:11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</row>
    <row r="48" spans="1:11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</row>
    <row r="49" spans="1:11" x14ac:dyDescent="0.25">
      <c r="A49" s="18"/>
      <c r="B49" s="4"/>
      <c r="C49" s="18"/>
      <c r="D49" s="18"/>
      <c r="E49" s="18"/>
      <c r="F49" s="18"/>
      <c r="G49" s="18"/>
      <c r="H49" s="18"/>
      <c r="I49" s="18"/>
      <c r="J49" s="18"/>
      <c r="K49" s="18"/>
    </row>
    <row r="50" spans="1:11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</row>
    <row r="51" spans="1:11" x14ac:dyDescent="0.25">
      <c r="A51" s="18"/>
      <c r="B51" s="4"/>
      <c r="C51" s="18"/>
      <c r="D51" s="18"/>
      <c r="E51" s="18"/>
      <c r="F51" s="18"/>
      <c r="G51" s="18"/>
      <c r="H51" s="18"/>
      <c r="I51" s="18"/>
      <c r="J51" s="18"/>
      <c r="K51" s="18"/>
    </row>
    <row r="52" spans="1:11" x14ac:dyDescent="0.25">
      <c r="A52" s="18"/>
      <c r="B52" s="4"/>
      <c r="C52" s="4"/>
      <c r="D52" s="4"/>
      <c r="E52" s="4"/>
      <c r="F52" s="4"/>
      <c r="G52" s="18"/>
      <c r="H52" s="4"/>
      <c r="I52" s="18"/>
      <c r="J52" s="4"/>
      <c r="K52" s="18"/>
    </row>
    <row r="53" spans="1:11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</row>
    <row r="54" spans="1:11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</row>
    <row r="55" spans="1:11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</row>
    <row r="56" spans="1:11" x14ac:dyDescent="0.2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</row>
    <row r="57" spans="1:11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</row>
  </sheetData>
  <mergeCells count="6">
    <mergeCell ref="A31:K31"/>
    <mergeCell ref="B1:K1"/>
    <mergeCell ref="A4:A16"/>
    <mergeCell ref="D18:E18"/>
    <mergeCell ref="G18:H18"/>
    <mergeCell ref="J18:K18"/>
  </mergeCells>
  <hyperlinks>
    <hyperlink ref="A1" location="Indice!A1" display="Índice"/>
  </hyperlinks>
  <printOptions horizontalCentered="1" verticalCentered="1" gridLines="1"/>
  <pageMargins left="7.874015748031496E-2" right="7.874015748031496E-2" top="7.874015748031496E-2" bottom="7.874015748031496E-2" header="0.31496062992125984" footer="0.31496062992125984"/>
  <pageSetup fitToWidth="0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zoomScaleSheetLayoutView="100" workbookViewId="0">
      <pane ySplit="1" topLeftCell="A2" activePane="bottomLeft" state="frozen"/>
      <selection pane="bottomLeft" activeCell="I9" sqref="I9"/>
    </sheetView>
  </sheetViews>
  <sheetFormatPr defaultColWidth="8" defaultRowHeight="13.2" x14ac:dyDescent="0.25"/>
  <cols>
    <col min="1" max="1" width="12.33203125" customWidth="1"/>
    <col min="2" max="9" width="8.6640625" customWidth="1"/>
    <col min="10" max="10" width="10.88671875" customWidth="1"/>
    <col min="11" max="11" width="8.6640625" customWidth="1"/>
  </cols>
  <sheetData>
    <row r="1" spans="1:11" ht="15" customHeight="1" x14ac:dyDescent="0.3">
      <c r="A1" s="297" t="s">
        <v>869</v>
      </c>
      <c r="B1" s="327" t="s">
        <v>599</v>
      </c>
      <c r="C1" s="328"/>
      <c r="D1" s="328"/>
      <c r="E1" s="328"/>
      <c r="F1" s="328"/>
      <c r="G1" s="328"/>
      <c r="H1" s="328"/>
      <c r="I1" s="328"/>
      <c r="J1" s="328"/>
      <c r="K1" s="328"/>
    </row>
    <row r="2" spans="1:11" ht="15" customHeight="1" x14ac:dyDescent="0.25">
      <c r="A2" s="63"/>
      <c r="B2" s="64" t="s">
        <v>100</v>
      </c>
      <c r="C2" s="64" t="s">
        <v>149</v>
      </c>
      <c r="D2" s="64" t="s">
        <v>35</v>
      </c>
      <c r="E2" s="64" t="s">
        <v>89</v>
      </c>
      <c r="F2" s="64" t="s">
        <v>32</v>
      </c>
      <c r="G2" s="64" t="s">
        <v>577</v>
      </c>
      <c r="H2" s="64" t="s">
        <v>131</v>
      </c>
      <c r="I2" s="64" t="s">
        <v>578</v>
      </c>
      <c r="J2" s="64" t="s">
        <v>579</v>
      </c>
      <c r="K2" s="65" t="s">
        <v>580</v>
      </c>
    </row>
    <row r="3" spans="1:11" ht="15" customHeight="1" x14ac:dyDescent="0.25">
      <c r="A3" s="63"/>
      <c r="B3" s="64" t="s">
        <v>416</v>
      </c>
      <c r="C3" s="64" t="s">
        <v>417</v>
      </c>
      <c r="D3" s="64" t="s">
        <v>418</v>
      </c>
      <c r="E3" s="64" t="s">
        <v>212</v>
      </c>
      <c r="F3" s="64" t="s">
        <v>418</v>
      </c>
      <c r="G3" s="64" t="s">
        <v>581</v>
      </c>
      <c r="H3" s="64" t="s">
        <v>431</v>
      </c>
      <c r="I3" s="64" t="s">
        <v>419</v>
      </c>
      <c r="J3" s="64" t="s">
        <v>207</v>
      </c>
      <c r="K3" s="64" t="s">
        <v>207</v>
      </c>
    </row>
    <row r="4" spans="1:11" ht="15" customHeight="1" x14ac:dyDescent="0.25">
      <c r="A4" s="329" t="s">
        <v>600</v>
      </c>
      <c r="B4" s="66">
        <f>+Dados!B6</f>
        <v>2</v>
      </c>
      <c r="C4" s="67">
        <f>+'Vel  EfC'!C60</f>
        <v>2</v>
      </c>
      <c r="D4" s="66">
        <f t="shared" ref="D4" si="0">(B4*C4)/10</f>
        <v>0.4</v>
      </c>
      <c r="E4" s="68">
        <f>+'Vel  EfC'!E60</f>
        <v>70</v>
      </c>
      <c r="F4" s="66">
        <f t="shared" ref="F4" si="1">(D4*E4)/100</f>
        <v>0.28000000000000003</v>
      </c>
      <c r="G4" s="68">
        <v>1</v>
      </c>
      <c r="H4" s="66">
        <f t="shared" ref="H4" si="2">1/F4*G4</f>
        <v>3.5714285714285712</v>
      </c>
      <c r="I4" s="66">
        <v>1</v>
      </c>
      <c r="J4" s="66">
        <f t="shared" ref="J4" si="3">+H4*I4</f>
        <v>3.5714285714285712</v>
      </c>
      <c r="K4" s="68">
        <f>+J4</f>
        <v>3.5714285714285712</v>
      </c>
    </row>
    <row r="5" spans="1:11" ht="15" customHeight="1" x14ac:dyDescent="0.25">
      <c r="A5" s="320"/>
      <c r="B5" s="69"/>
      <c r="C5" s="66"/>
      <c r="D5" s="67"/>
      <c r="E5" s="66"/>
      <c r="F5" s="68"/>
      <c r="G5" s="66"/>
      <c r="H5" s="68"/>
      <c r="I5" s="66"/>
      <c r="J5" s="68"/>
      <c r="K5" s="68"/>
    </row>
    <row r="6" spans="1:11" ht="15" customHeight="1" x14ac:dyDescent="0.25">
      <c r="A6" s="320"/>
      <c r="B6" s="68" t="s">
        <v>420</v>
      </c>
      <c r="C6" s="68" t="s">
        <v>421</v>
      </c>
      <c r="D6" s="68" t="s">
        <v>210</v>
      </c>
      <c r="E6" s="68" t="s">
        <v>510</v>
      </c>
      <c r="F6" s="68" t="s">
        <v>511</v>
      </c>
      <c r="G6" s="48" t="s">
        <v>512</v>
      </c>
      <c r="H6" s="48" t="s">
        <v>498</v>
      </c>
      <c r="I6" s="48" t="s">
        <v>422</v>
      </c>
      <c r="J6" s="71" t="s">
        <v>92</v>
      </c>
      <c r="K6" s="71" t="s">
        <v>94</v>
      </c>
    </row>
    <row r="7" spans="1:11" ht="15" customHeight="1" x14ac:dyDescent="0.25">
      <c r="A7" s="320"/>
      <c r="B7" s="68" t="s">
        <v>205</v>
      </c>
      <c r="C7" s="68" t="s">
        <v>204</v>
      </c>
      <c r="D7" s="68" t="s">
        <v>206</v>
      </c>
      <c r="E7" s="68" t="s">
        <v>212</v>
      </c>
      <c r="F7" s="68" t="s">
        <v>212</v>
      </c>
      <c r="G7" s="48" t="s">
        <v>208</v>
      </c>
      <c r="H7" s="48" t="s">
        <v>208</v>
      </c>
      <c r="I7" s="48" t="s">
        <v>208</v>
      </c>
      <c r="J7" s="71" t="s">
        <v>208</v>
      </c>
      <c r="K7" s="71" t="s">
        <v>61</v>
      </c>
    </row>
    <row r="8" spans="1:11" ht="15" customHeight="1" x14ac:dyDescent="0.25">
      <c r="A8" s="320"/>
      <c r="B8" s="68">
        <f>+IHERA_Eq!F244</f>
        <v>2500</v>
      </c>
      <c r="C8" s="68">
        <v>0</v>
      </c>
      <c r="D8" s="68">
        <f>+IHERA_Eq!H244</f>
        <v>10</v>
      </c>
      <c r="E8" s="66">
        <f>+IHERA_Eq!L1</f>
        <v>3</v>
      </c>
      <c r="F8" s="66">
        <v>0</v>
      </c>
      <c r="G8" s="66">
        <f>(B8)/(K4*D8)</f>
        <v>70.000000000000014</v>
      </c>
      <c r="H8" s="66">
        <f>((B8)/(2*K4))*(E8/100)</f>
        <v>10.5</v>
      </c>
      <c r="I8" s="66">
        <f>((B8)/(2*K4)*(F8/100))</f>
        <v>0</v>
      </c>
      <c r="J8" s="66">
        <f t="shared" ref="J8" si="4">G8+H8+I8</f>
        <v>80.500000000000014</v>
      </c>
      <c r="K8" s="66">
        <f>+J8*H4</f>
        <v>287.50000000000006</v>
      </c>
    </row>
    <row r="9" spans="1:11" ht="15" customHeight="1" x14ac:dyDescent="0.25">
      <c r="A9" s="320"/>
      <c r="B9" s="69"/>
      <c r="C9" s="66"/>
      <c r="D9" s="67"/>
      <c r="E9" s="66"/>
      <c r="F9" s="68"/>
      <c r="G9" s="66"/>
      <c r="H9" s="68"/>
      <c r="I9" s="66"/>
      <c r="J9" s="68"/>
      <c r="K9" s="68"/>
    </row>
    <row r="10" spans="1:11" ht="15" customHeight="1" x14ac:dyDescent="0.25">
      <c r="A10" s="320"/>
      <c r="B10" s="69" t="s">
        <v>582</v>
      </c>
      <c r="C10" s="68" t="s">
        <v>513</v>
      </c>
      <c r="D10" s="68" t="s">
        <v>423</v>
      </c>
      <c r="E10" s="68" t="s">
        <v>514</v>
      </c>
      <c r="F10" s="48" t="s">
        <v>583</v>
      </c>
      <c r="G10" s="68" t="s">
        <v>516</v>
      </c>
      <c r="H10" s="68" t="s">
        <v>517</v>
      </c>
      <c r="I10" s="48" t="s">
        <v>518</v>
      </c>
      <c r="J10" s="70"/>
      <c r="K10" s="70"/>
    </row>
    <row r="11" spans="1:11" ht="15" customHeight="1" x14ac:dyDescent="0.25">
      <c r="A11" s="320"/>
      <c r="B11" s="69" t="s">
        <v>204</v>
      </c>
      <c r="C11" s="68" t="s">
        <v>39</v>
      </c>
      <c r="D11" s="68" t="s">
        <v>424</v>
      </c>
      <c r="E11" s="68" t="s">
        <v>213</v>
      </c>
      <c r="F11" s="48" t="s">
        <v>208</v>
      </c>
      <c r="G11" s="68" t="s">
        <v>214</v>
      </c>
      <c r="H11" s="68" t="s">
        <v>213</v>
      </c>
      <c r="I11" s="48" t="s">
        <v>208</v>
      </c>
      <c r="J11" s="70"/>
      <c r="K11" s="70"/>
    </row>
    <row r="12" spans="1:11" ht="15" customHeight="1" x14ac:dyDescent="0.25">
      <c r="A12" s="320"/>
      <c r="B12" s="63">
        <v>0</v>
      </c>
      <c r="C12" s="66">
        <v>0</v>
      </c>
      <c r="D12" s="66">
        <f>+B12*C12</f>
        <v>0</v>
      </c>
      <c r="E12" s="66">
        <v>0</v>
      </c>
      <c r="F12" s="66">
        <f>+D12*E12</f>
        <v>0</v>
      </c>
      <c r="G12" s="72">
        <v>0</v>
      </c>
      <c r="H12" s="66">
        <v>0</v>
      </c>
      <c r="I12" s="66">
        <f>C8*G12*H12</f>
        <v>0</v>
      </c>
      <c r="J12" s="70"/>
      <c r="K12" s="70"/>
    </row>
    <row r="13" spans="1:11" ht="15" customHeight="1" x14ac:dyDescent="0.25">
      <c r="A13" s="320"/>
      <c r="B13" s="69"/>
      <c r="C13" s="66"/>
      <c r="D13" s="67"/>
      <c r="E13" s="66"/>
      <c r="F13" s="68"/>
      <c r="G13" s="66"/>
      <c r="H13" s="68"/>
      <c r="I13" s="66"/>
      <c r="J13" s="68"/>
      <c r="K13" s="68"/>
    </row>
    <row r="14" spans="1:11" ht="15" customHeight="1" x14ac:dyDescent="0.25">
      <c r="A14" s="320"/>
      <c r="B14" s="68" t="s">
        <v>519</v>
      </c>
      <c r="C14" s="68" t="s">
        <v>520</v>
      </c>
      <c r="D14" s="48" t="s">
        <v>521</v>
      </c>
      <c r="E14" s="68" t="s">
        <v>584</v>
      </c>
      <c r="F14" s="48" t="s">
        <v>584</v>
      </c>
      <c r="G14" s="68" t="s">
        <v>585</v>
      </c>
      <c r="H14" s="68" t="s">
        <v>586</v>
      </c>
      <c r="I14" s="48" t="s">
        <v>524</v>
      </c>
      <c r="J14" s="71" t="s">
        <v>96</v>
      </c>
      <c r="K14" s="71" t="s">
        <v>98</v>
      </c>
    </row>
    <row r="15" spans="1:11" ht="15" customHeight="1" x14ac:dyDescent="0.25">
      <c r="A15" s="320"/>
      <c r="B15" s="68" t="s">
        <v>205</v>
      </c>
      <c r="C15" s="68" t="s">
        <v>215</v>
      </c>
      <c r="D15" s="48" t="s">
        <v>208</v>
      </c>
      <c r="E15" s="68" t="s">
        <v>212</v>
      </c>
      <c r="F15" s="48" t="s">
        <v>208</v>
      </c>
      <c r="G15" s="68" t="s">
        <v>208</v>
      </c>
      <c r="H15" s="68" t="s">
        <v>587</v>
      </c>
      <c r="I15" s="48" t="s">
        <v>208</v>
      </c>
      <c r="J15" s="71" t="s">
        <v>208</v>
      </c>
      <c r="K15" s="71" t="s">
        <v>61</v>
      </c>
    </row>
    <row r="16" spans="1:11" ht="15" customHeight="1" x14ac:dyDescent="0.25">
      <c r="A16" s="320"/>
      <c r="B16" s="68">
        <v>0</v>
      </c>
      <c r="C16" s="68">
        <v>0.1</v>
      </c>
      <c r="D16" s="66">
        <f>+B16/C16</f>
        <v>0</v>
      </c>
      <c r="E16" s="66">
        <f>+IHERA_Eq!J244</f>
        <v>0.04</v>
      </c>
      <c r="F16" s="66">
        <f>B8*(E16/100)</f>
        <v>1</v>
      </c>
      <c r="G16" s="68">
        <v>0</v>
      </c>
      <c r="H16" s="68">
        <v>0</v>
      </c>
      <c r="I16" s="68">
        <f>+G16*H16</f>
        <v>0</v>
      </c>
      <c r="J16" s="66">
        <f>F12+I12+D16+F16+I16</f>
        <v>1</v>
      </c>
      <c r="K16" s="66">
        <f>+J16*H4</f>
        <v>3.5714285714285712</v>
      </c>
    </row>
    <row r="17" spans="1:11" ht="15" customHeight="1" x14ac:dyDescent="0.25">
      <c r="A17" s="63"/>
      <c r="B17" s="69"/>
      <c r="C17" s="66"/>
      <c r="D17" s="67"/>
      <c r="E17" s="66"/>
      <c r="F17" s="68"/>
      <c r="G17" s="66"/>
      <c r="H17" s="68"/>
      <c r="I17" s="66"/>
      <c r="J17" s="68"/>
      <c r="K17" s="68"/>
    </row>
    <row r="18" spans="1:11" s="310" customFormat="1" ht="15" customHeight="1" x14ac:dyDescent="0.25">
      <c r="A18" s="308"/>
      <c r="B18" s="309"/>
      <c r="C18" s="337" t="s">
        <v>624</v>
      </c>
      <c r="D18" s="338"/>
      <c r="E18" s="338"/>
      <c r="F18" s="338"/>
      <c r="G18" s="335" t="s">
        <v>1044</v>
      </c>
      <c r="H18" s="335"/>
      <c r="I18" s="315">
        <f>+Trator60!A28</f>
        <v>150</v>
      </c>
      <c r="J18" s="335" t="s">
        <v>601</v>
      </c>
      <c r="K18" s="336"/>
    </row>
    <row r="19" spans="1:11" ht="15" customHeight="1" x14ac:dyDescent="0.25">
      <c r="A19" s="68" t="s">
        <v>28</v>
      </c>
      <c r="B19" s="68" t="s">
        <v>588</v>
      </c>
      <c r="C19" s="73" t="s">
        <v>619</v>
      </c>
      <c r="D19" s="73" t="s">
        <v>620</v>
      </c>
      <c r="E19" s="73" t="s">
        <v>621</v>
      </c>
      <c r="F19" s="68" t="s">
        <v>622</v>
      </c>
      <c r="G19" s="46" t="s">
        <v>92</v>
      </c>
      <c r="H19" s="46" t="s">
        <v>96</v>
      </c>
      <c r="I19" s="85" t="s">
        <v>216</v>
      </c>
      <c r="J19" s="74" t="s">
        <v>589</v>
      </c>
      <c r="K19" s="74" t="s">
        <v>590</v>
      </c>
    </row>
    <row r="20" spans="1:11" ht="15" customHeight="1" x14ac:dyDescent="0.25">
      <c r="A20" s="68" t="s">
        <v>591</v>
      </c>
      <c r="B20" s="68" t="s">
        <v>207</v>
      </c>
      <c r="C20" s="68" t="s">
        <v>205</v>
      </c>
      <c r="D20" s="68" t="s">
        <v>205</v>
      </c>
      <c r="E20" s="68" t="s">
        <v>205</v>
      </c>
      <c r="F20" s="68" t="s">
        <v>205</v>
      </c>
      <c r="G20" s="46" t="s">
        <v>208</v>
      </c>
      <c r="H20" s="46" t="s">
        <v>208</v>
      </c>
      <c r="I20" s="85" t="s">
        <v>208</v>
      </c>
      <c r="J20" s="74" t="s">
        <v>205</v>
      </c>
      <c r="K20" s="74" t="s">
        <v>205</v>
      </c>
    </row>
    <row r="21" spans="1:11" ht="15" customHeight="1" x14ac:dyDescent="0.25">
      <c r="A21" s="68">
        <v>1</v>
      </c>
      <c r="B21" s="68">
        <f>+K4</f>
        <v>3.5714285714285712</v>
      </c>
      <c r="C21" s="66">
        <f>($B$8*0.9)/(B21*$D$8)+(($B$8*1.1)/(2*B21))*($E$8/100)+(($B$8*1.1)/(2*B21)*($F$8/100))</f>
        <v>74.550000000000011</v>
      </c>
      <c r="D21" s="66">
        <f>$D$12*$E$12+$C$8*$G$12*$H$12+$B$16/$C$16+$B$8*($E$16/100)+$G$16*$H$16</f>
        <v>1</v>
      </c>
      <c r="E21" s="66">
        <f>+C21+D21</f>
        <v>75.550000000000011</v>
      </c>
      <c r="F21" s="66">
        <f>+A21*E21</f>
        <v>75.550000000000011</v>
      </c>
      <c r="G21" s="75">
        <f>+Trator60!B28</f>
        <v>24.838716666666667</v>
      </c>
      <c r="H21" s="75">
        <f>+Trator60!C28</f>
        <v>16.310123333333333</v>
      </c>
      <c r="I21" s="77">
        <f>+H21+G21</f>
        <v>41.14884</v>
      </c>
      <c r="J21" s="77">
        <f>+E21+$I$21</f>
        <v>116.69884000000002</v>
      </c>
      <c r="K21" s="77">
        <f>+B21*J21</f>
        <v>416.78157142857145</v>
      </c>
    </row>
    <row r="22" spans="1:11" ht="15" customHeight="1" x14ac:dyDescent="0.25">
      <c r="A22" s="68">
        <f>+A21+2</f>
        <v>3</v>
      </c>
      <c r="B22" s="68">
        <f>+A22*$K$4</f>
        <v>10.714285714285714</v>
      </c>
      <c r="C22" s="66">
        <f t="shared" ref="C22:C30" si="5">($B$8*0.9)/(B22*$D$8)+(($B$8*1.1)/(2*B22))*($E$8/100)+(($B$8*1.1)/(2*B22)*($F$8/100))</f>
        <v>24.85</v>
      </c>
      <c r="D22" s="66">
        <f t="shared" ref="D22:D30" si="6">$D$12*$E$12+$C$8*$G$12*$H$12+$B$16/$C$16+$B$8*($E$16/100)+$G$16*$H$16</f>
        <v>1</v>
      </c>
      <c r="E22" s="66">
        <f t="shared" ref="E22:E30" si="7">+C22+D22</f>
        <v>25.85</v>
      </c>
      <c r="F22" s="66">
        <f t="shared" ref="F22:F30" si="8">+A22*E22</f>
        <v>77.550000000000011</v>
      </c>
      <c r="G22" s="75"/>
      <c r="H22" s="75"/>
      <c r="I22" s="76"/>
      <c r="J22" s="77">
        <f t="shared" ref="J22:J30" si="9">+E22+$I$21</f>
        <v>66.998840000000001</v>
      </c>
      <c r="K22" s="77">
        <f t="shared" ref="K22:K30" si="10">+B22*J22</f>
        <v>717.8447142857143</v>
      </c>
    </row>
    <row r="23" spans="1:11" ht="15" customHeight="1" x14ac:dyDescent="0.25">
      <c r="A23" s="68">
        <f t="shared" ref="A23:A29" si="11">+A22+2</f>
        <v>5</v>
      </c>
      <c r="B23" s="68">
        <f t="shared" ref="B23:B30" si="12">+A23*$K$4</f>
        <v>17.857142857142854</v>
      </c>
      <c r="C23" s="66">
        <f t="shared" si="5"/>
        <v>14.910000000000002</v>
      </c>
      <c r="D23" s="66">
        <f t="shared" si="6"/>
        <v>1</v>
      </c>
      <c r="E23" s="66">
        <f t="shared" si="7"/>
        <v>15.910000000000002</v>
      </c>
      <c r="F23" s="66">
        <f t="shared" si="8"/>
        <v>79.550000000000011</v>
      </c>
      <c r="G23" s="75"/>
      <c r="H23" s="75"/>
      <c r="I23" s="76"/>
      <c r="J23" s="77">
        <f t="shared" si="9"/>
        <v>57.058840000000004</v>
      </c>
      <c r="K23" s="77">
        <f t="shared" si="10"/>
        <v>1018.907857142857</v>
      </c>
    </row>
    <row r="24" spans="1:11" ht="15" customHeight="1" x14ac:dyDescent="0.25">
      <c r="A24" s="68">
        <f t="shared" si="11"/>
        <v>7</v>
      </c>
      <c r="B24" s="68">
        <f t="shared" si="12"/>
        <v>25</v>
      </c>
      <c r="C24" s="66">
        <f t="shared" si="5"/>
        <v>10.65</v>
      </c>
      <c r="D24" s="66">
        <f t="shared" si="6"/>
        <v>1</v>
      </c>
      <c r="E24" s="66">
        <f t="shared" si="7"/>
        <v>11.65</v>
      </c>
      <c r="F24" s="66">
        <f t="shared" si="8"/>
        <v>81.55</v>
      </c>
      <c r="G24" s="75"/>
      <c r="H24" s="75"/>
      <c r="I24" s="76"/>
      <c r="J24" s="77">
        <f t="shared" si="9"/>
        <v>52.798839999999998</v>
      </c>
      <c r="K24" s="77">
        <f t="shared" si="10"/>
        <v>1319.971</v>
      </c>
    </row>
    <row r="25" spans="1:11" ht="15" customHeight="1" x14ac:dyDescent="0.25">
      <c r="A25" s="68">
        <f t="shared" si="11"/>
        <v>9</v>
      </c>
      <c r="B25" s="68">
        <f t="shared" si="12"/>
        <v>32.142857142857139</v>
      </c>
      <c r="C25" s="66">
        <f t="shared" si="5"/>
        <v>8.283333333333335</v>
      </c>
      <c r="D25" s="66">
        <f t="shared" si="6"/>
        <v>1</v>
      </c>
      <c r="E25" s="66">
        <f t="shared" si="7"/>
        <v>9.283333333333335</v>
      </c>
      <c r="F25" s="66">
        <f t="shared" si="8"/>
        <v>83.550000000000011</v>
      </c>
      <c r="G25" s="75"/>
      <c r="H25" s="75"/>
      <c r="I25" s="76"/>
      <c r="J25" s="77">
        <f t="shared" si="9"/>
        <v>50.432173333333338</v>
      </c>
      <c r="K25" s="77">
        <f t="shared" si="10"/>
        <v>1621.0341428571428</v>
      </c>
    </row>
    <row r="26" spans="1:11" ht="15" customHeight="1" x14ac:dyDescent="0.25">
      <c r="A26" s="68">
        <f t="shared" si="11"/>
        <v>11</v>
      </c>
      <c r="B26" s="68">
        <f t="shared" si="12"/>
        <v>39.285714285714285</v>
      </c>
      <c r="C26" s="66">
        <f t="shared" si="5"/>
        <v>6.7772727272727273</v>
      </c>
      <c r="D26" s="66">
        <f t="shared" si="6"/>
        <v>1</v>
      </c>
      <c r="E26" s="66">
        <f t="shared" si="7"/>
        <v>7.7772727272727273</v>
      </c>
      <c r="F26" s="66">
        <f t="shared" si="8"/>
        <v>85.55</v>
      </c>
      <c r="G26" s="75"/>
      <c r="H26" s="75"/>
      <c r="I26" s="76"/>
      <c r="J26" s="77">
        <f t="shared" si="9"/>
        <v>48.926112727272724</v>
      </c>
      <c r="K26" s="77">
        <f t="shared" si="10"/>
        <v>1922.0972857142856</v>
      </c>
    </row>
    <row r="27" spans="1:11" ht="15" customHeight="1" x14ac:dyDescent="0.25">
      <c r="A27" s="68">
        <f t="shared" si="11"/>
        <v>13</v>
      </c>
      <c r="B27" s="68">
        <f t="shared" si="12"/>
        <v>46.428571428571423</v>
      </c>
      <c r="C27" s="66">
        <f t="shared" si="5"/>
        <v>5.7346153846153856</v>
      </c>
      <c r="D27" s="66">
        <f t="shared" si="6"/>
        <v>1</v>
      </c>
      <c r="E27" s="66">
        <f t="shared" si="7"/>
        <v>6.7346153846153856</v>
      </c>
      <c r="F27" s="66">
        <f t="shared" si="8"/>
        <v>87.550000000000011</v>
      </c>
      <c r="G27" s="75"/>
      <c r="H27" s="75"/>
      <c r="I27" s="76"/>
      <c r="J27" s="77">
        <f t="shared" si="9"/>
        <v>47.883455384615388</v>
      </c>
      <c r="K27" s="77">
        <f t="shared" si="10"/>
        <v>2223.1604285714284</v>
      </c>
    </row>
    <row r="28" spans="1:11" ht="15" customHeight="1" x14ac:dyDescent="0.25">
      <c r="A28" s="68">
        <f t="shared" si="11"/>
        <v>15</v>
      </c>
      <c r="B28" s="68">
        <f t="shared" si="12"/>
        <v>53.571428571428569</v>
      </c>
      <c r="C28" s="66">
        <f t="shared" si="5"/>
        <v>4.9700000000000006</v>
      </c>
      <c r="D28" s="66">
        <f t="shared" si="6"/>
        <v>1</v>
      </c>
      <c r="E28" s="66">
        <f t="shared" si="7"/>
        <v>5.9700000000000006</v>
      </c>
      <c r="F28" s="66">
        <f t="shared" si="8"/>
        <v>89.550000000000011</v>
      </c>
      <c r="G28" s="75"/>
      <c r="H28" s="75"/>
      <c r="I28" s="76"/>
      <c r="J28" s="77">
        <f t="shared" si="9"/>
        <v>47.118839999999999</v>
      </c>
      <c r="K28" s="77">
        <f t="shared" si="10"/>
        <v>2524.2235714285712</v>
      </c>
    </row>
    <row r="29" spans="1:11" ht="15" customHeight="1" x14ac:dyDescent="0.25">
      <c r="A29" s="68">
        <f t="shared" si="11"/>
        <v>17</v>
      </c>
      <c r="B29" s="68">
        <f t="shared" si="12"/>
        <v>60.714285714285708</v>
      </c>
      <c r="C29" s="66">
        <f t="shared" si="5"/>
        <v>4.3852941176470592</v>
      </c>
      <c r="D29" s="66">
        <f t="shared" si="6"/>
        <v>1</v>
      </c>
      <c r="E29" s="66">
        <f t="shared" si="7"/>
        <v>5.3852941176470592</v>
      </c>
      <c r="F29" s="66">
        <f t="shared" si="8"/>
        <v>91.550000000000011</v>
      </c>
      <c r="G29" s="75"/>
      <c r="H29" s="75"/>
      <c r="I29" s="76"/>
      <c r="J29" s="77">
        <f t="shared" si="9"/>
        <v>46.534134117647056</v>
      </c>
      <c r="K29" s="77">
        <f t="shared" si="10"/>
        <v>2825.286714285714</v>
      </c>
    </row>
    <row r="30" spans="1:11" ht="15" customHeight="1" x14ac:dyDescent="0.25">
      <c r="A30" s="68">
        <f>+A29+3</f>
        <v>20</v>
      </c>
      <c r="B30" s="68">
        <f t="shared" si="12"/>
        <v>71.428571428571416</v>
      </c>
      <c r="C30" s="66">
        <f t="shared" si="5"/>
        <v>3.7275000000000005</v>
      </c>
      <c r="D30" s="66">
        <f t="shared" si="6"/>
        <v>1</v>
      </c>
      <c r="E30" s="66">
        <f t="shared" si="7"/>
        <v>4.7275000000000009</v>
      </c>
      <c r="F30" s="66">
        <f t="shared" si="8"/>
        <v>94.550000000000011</v>
      </c>
      <c r="G30" s="75"/>
      <c r="H30" s="75"/>
      <c r="I30" s="76"/>
      <c r="J30" s="77">
        <f t="shared" si="9"/>
        <v>45.876339999999999</v>
      </c>
      <c r="K30" s="77">
        <f t="shared" si="10"/>
        <v>3276.8814285714279</v>
      </c>
    </row>
    <row r="31" spans="1:11" s="80" customFormat="1" ht="15" customHeight="1" x14ac:dyDescent="0.25">
      <c r="A31" s="325" t="s">
        <v>614</v>
      </c>
      <c r="B31" s="326"/>
      <c r="C31" s="326"/>
      <c r="D31" s="326"/>
      <c r="E31" s="326"/>
      <c r="F31" s="326"/>
      <c r="G31" s="326"/>
      <c r="H31" s="326"/>
      <c r="I31" s="326"/>
      <c r="J31" s="326"/>
      <c r="K31" s="326"/>
    </row>
    <row r="32" spans="1:11" s="80" customFormat="1" ht="15" customHeight="1" x14ac:dyDescent="0.25">
      <c r="A32" s="97">
        <f>+Dados!B5</f>
        <v>9</v>
      </c>
      <c r="B32" s="98">
        <f t="shared" ref="B32" si="13">+A32*$K$4</f>
        <v>32.142857142857139</v>
      </c>
      <c r="C32" s="51">
        <f>($B$8*0.9)/(B32*$D$8)+(($B$8*1.1)/(2*B32))*($E$8/100)+(($B$8*1.1)/(2*B32)*($F$8/100))</f>
        <v>8.283333333333335</v>
      </c>
      <c r="D32" s="51">
        <f>$D$12*$E$12+$C$8*$G$12*$H$12+$B$16/$C$16+$B$8*($E$16/100)+$G$16*$H$16</f>
        <v>1</v>
      </c>
      <c r="E32" s="51">
        <f>+C32+D32</f>
        <v>9.283333333333335</v>
      </c>
      <c r="F32" s="51">
        <f>+A32*E32</f>
        <v>83.550000000000011</v>
      </c>
      <c r="G32" s="53"/>
      <c r="H32" s="53"/>
      <c r="I32" s="99"/>
      <c r="J32" s="100">
        <f>+E32+$I$21</f>
        <v>50.432173333333338</v>
      </c>
      <c r="K32" s="100">
        <f>+B32*J32</f>
        <v>1621.0341428571428</v>
      </c>
    </row>
    <row r="33" spans="1:11" ht="15" customHeight="1" x14ac:dyDescent="0.25">
      <c r="A33" s="68"/>
      <c r="B33" s="55"/>
      <c r="C33" s="55"/>
      <c r="D33" s="55"/>
      <c r="E33" s="55"/>
      <c r="F33" s="55"/>
      <c r="G33" s="55"/>
      <c r="H33" s="55"/>
      <c r="I33" s="55"/>
      <c r="J33" s="55"/>
      <c r="K33" s="55"/>
    </row>
    <row r="34" spans="1:11" x14ac:dyDescent="0.25">
      <c r="A34" s="3"/>
      <c r="B34" s="3"/>
      <c r="C34" s="3"/>
      <c r="D34" s="3"/>
      <c r="E34" s="3"/>
      <c r="F34" s="18"/>
      <c r="G34" s="3"/>
      <c r="H34" s="18"/>
      <c r="I34" s="18"/>
      <c r="J34" s="18"/>
      <c r="K34" s="18"/>
    </row>
    <row r="35" spans="1:11" x14ac:dyDescent="0.25">
      <c r="A35" s="3"/>
      <c r="B35" s="3"/>
      <c r="C35" s="3"/>
      <c r="D35" s="3"/>
      <c r="E35" s="3"/>
      <c r="F35" s="18"/>
      <c r="G35" s="3"/>
      <c r="H35" s="18"/>
      <c r="I35" s="18"/>
      <c r="J35" s="18"/>
      <c r="K35" s="18"/>
    </row>
    <row r="36" spans="1:11" x14ac:dyDescent="0.25">
      <c r="A36" s="3"/>
      <c r="B36" s="3"/>
      <c r="C36" s="3"/>
      <c r="D36" s="3"/>
      <c r="E36" s="3"/>
      <c r="F36" s="18"/>
      <c r="G36" s="3"/>
      <c r="H36" s="18"/>
      <c r="I36" s="18"/>
      <c r="J36" s="18"/>
      <c r="K36" s="18"/>
    </row>
    <row r="37" spans="1:11" x14ac:dyDescent="0.25">
      <c r="A37" s="3"/>
      <c r="B37" s="3"/>
      <c r="C37" s="3"/>
      <c r="D37" s="3"/>
      <c r="E37" s="3"/>
      <c r="F37" s="18"/>
      <c r="G37" s="3"/>
      <c r="H37" s="18"/>
      <c r="I37" s="18"/>
      <c r="J37" s="18"/>
      <c r="K37" s="18"/>
    </row>
    <row r="38" spans="1:11" x14ac:dyDescent="0.25">
      <c r="A38" s="3"/>
      <c r="B38" s="3"/>
      <c r="C38" s="3"/>
      <c r="D38" s="3"/>
      <c r="E38" s="3"/>
      <c r="F38" s="18"/>
      <c r="G38" s="3"/>
      <c r="H38" s="18"/>
      <c r="I38" s="18"/>
      <c r="J38" s="18"/>
      <c r="K38" s="18"/>
    </row>
    <row r="39" spans="1:11" x14ac:dyDescent="0.25">
      <c r="A39" s="18"/>
      <c r="B39" s="4"/>
      <c r="C39" s="18"/>
      <c r="D39" s="18"/>
      <c r="E39" s="18"/>
      <c r="F39" s="18"/>
      <c r="G39" s="18"/>
      <c r="H39" s="18"/>
      <c r="I39" s="18"/>
      <c r="J39" s="18"/>
      <c r="K39" s="18"/>
    </row>
    <row r="40" spans="1:11" x14ac:dyDescent="0.25">
      <c r="A40" s="18"/>
      <c r="B40" s="5"/>
      <c r="C40" s="18"/>
      <c r="D40" s="5"/>
      <c r="E40" s="18"/>
      <c r="F40" s="18"/>
      <c r="G40" s="18"/>
      <c r="H40" s="18"/>
      <c r="I40" s="18"/>
      <c r="J40" s="18"/>
      <c r="K40" s="18"/>
    </row>
    <row r="41" spans="1:11" x14ac:dyDescent="0.25">
      <c r="A41" s="18"/>
      <c r="B41" s="4"/>
      <c r="C41" s="18"/>
      <c r="D41" s="18"/>
      <c r="E41" s="18"/>
      <c r="F41" s="18"/>
      <c r="G41" s="18"/>
      <c r="H41" s="18"/>
      <c r="I41" s="18"/>
      <c r="J41" s="18"/>
      <c r="K41" s="18"/>
    </row>
    <row r="42" spans="1:11" x14ac:dyDescent="0.25">
      <c r="A42" s="18"/>
      <c r="B42" s="4"/>
      <c r="C42" s="18"/>
      <c r="D42" s="18"/>
      <c r="E42" s="18"/>
      <c r="F42" s="18"/>
      <c r="G42" s="18"/>
      <c r="H42" s="18"/>
      <c r="I42" s="18"/>
      <c r="J42" s="18"/>
      <c r="K42" s="18"/>
    </row>
    <row r="43" spans="1:11" x14ac:dyDescent="0.25">
      <c r="A43" s="18"/>
      <c r="B43" s="4"/>
      <c r="C43" s="18"/>
      <c r="D43" s="18"/>
      <c r="E43" s="18"/>
      <c r="F43" s="18"/>
      <c r="G43" s="18"/>
      <c r="H43" s="18"/>
      <c r="I43" s="18"/>
      <c r="J43" s="18"/>
      <c r="K43" s="18"/>
    </row>
    <row r="44" spans="1:11" x14ac:dyDescent="0.25">
      <c r="A44" s="18"/>
      <c r="B44" s="4"/>
      <c r="C44" s="18"/>
      <c r="D44" s="18"/>
      <c r="E44" s="18"/>
      <c r="F44" s="18"/>
      <c r="G44" s="18"/>
      <c r="H44" s="18"/>
      <c r="I44" s="18"/>
      <c r="J44" s="18"/>
      <c r="K44" s="18"/>
    </row>
    <row r="45" spans="1:11" x14ac:dyDescent="0.25">
      <c r="A45" s="18"/>
      <c r="B45" s="4"/>
      <c r="C45" s="18"/>
      <c r="D45" s="18"/>
      <c r="E45" s="18"/>
      <c r="F45" s="18"/>
      <c r="G45" s="18"/>
      <c r="H45" s="18"/>
      <c r="I45" s="18"/>
      <c r="J45" s="18"/>
      <c r="K45" s="18"/>
    </row>
    <row r="46" spans="1:11" x14ac:dyDescent="0.25">
      <c r="A46" s="18"/>
      <c r="B46" s="4"/>
      <c r="C46" s="18"/>
      <c r="D46" s="18"/>
      <c r="E46" s="18"/>
      <c r="F46" s="18"/>
      <c r="G46" s="18"/>
      <c r="H46" s="18"/>
      <c r="I46" s="18"/>
      <c r="J46" s="18"/>
      <c r="K46" s="18"/>
    </row>
    <row r="47" spans="1:11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</row>
    <row r="48" spans="1:11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</row>
    <row r="49" spans="1:11" x14ac:dyDescent="0.25">
      <c r="A49" s="18"/>
      <c r="B49" s="4"/>
      <c r="C49" s="18"/>
      <c r="D49" s="18"/>
      <c r="E49" s="18"/>
      <c r="F49" s="18"/>
      <c r="G49" s="18"/>
      <c r="H49" s="18"/>
      <c r="I49" s="18"/>
      <c r="J49" s="18"/>
      <c r="K49" s="18"/>
    </row>
    <row r="50" spans="1:11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</row>
    <row r="51" spans="1:11" x14ac:dyDescent="0.25">
      <c r="A51" s="18"/>
      <c r="B51" s="4"/>
      <c r="C51" s="18"/>
      <c r="D51" s="18"/>
      <c r="E51" s="18"/>
      <c r="F51" s="18"/>
      <c r="G51" s="18"/>
      <c r="H51" s="18"/>
      <c r="I51" s="18"/>
      <c r="J51" s="18"/>
      <c r="K51" s="18"/>
    </row>
    <row r="52" spans="1:11" x14ac:dyDescent="0.25">
      <c r="A52" s="18"/>
      <c r="B52" s="4"/>
      <c r="C52" s="4"/>
      <c r="D52" s="4"/>
      <c r="E52" s="4"/>
      <c r="F52" s="4"/>
      <c r="G52" s="18"/>
      <c r="H52" s="4"/>
      <c r="I52" s="18"/>
      <c r="J52" s="4"/>
      <c r="K52" s="18"/>
    </row>
    <row r="53" spans="1:11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</row>
    <row r="54" spans="1:11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</row>
    <row r="55" spans="1:11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</row>
    <row r="56" spans="1:11" x14ac:dyDescent="0.2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</row>
    <row r="57" spans="1:11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</row>
  </sheetData>
  <mergeCells count="6">
    <mergeCell ref="A31:K31"/>
    <mergeCell ref="B1:K1"/>
    <mergeCell ref="A4:A16"/>
    <mergeCell ref="G18:H18"/>
    <mergeCell ref="J18:K18"/>
    <mergeCell ref="C18:F18"/>
  </mergeCells>
  <hyperlinks>
    <hyperlink ref="A1" location="Indice!A1" display="Índice"/>
  </hyperlinks>
  <printOptions horizontalCentered="1" verticalCentered="1" gridLines="1"/>
  <pageMargins left="7.874015748031496E-2" right="7.874015748031496E-2" top="7.874015748031496E-2" bottom="7.874015748031496E-2" header="0.31496062992125984" footer="0.31496062992125984"/>
  <pageSetup fitToWidth="0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zoomScaleSheetLayoutView="100" workbookViewId="0">
      <pane ySplit="1" topLeftCell="A2" activePane="bottomLeft" state="frozen"/>
      <selection pane="bottomLeft" activeCell="I9" sqref="I9"/>
    </sheetView>
  </sheetViews>
  <sheetFormatPr defaultColWidth="8" defaultRowHeight="13.2" x14ac:dyDescent="0.25"/>
  <cols>
    <col min="1" max="1" width="12.33203125" customWidth="1"/>
    <col min="2" max="9" width="8.6640625" customWidth="1"/>
    <col min="10" max="10" width="10.88671875" customWidth="1"/>
    <col min="11" max="11" width="8.6640625" customWidth="1"/>
    <col min="12" max="12" width="9.33203125" customWidth="1"/>
    <col min="13" max="13" width="2.88671875" customWidth="1"/>
    <col min="14" max="14" width="5.44140625" customWidth="1"/>
  </cols>
  <sheetData>
    <row r="1" spans="1:14" ht="15" customHeight="1" x14ac:dyDescent="0.3">
      <c r="A1" s="297" t="s">
        <v>869</v>
      </c>
      <c r="B1" s="327" t="s">
        <v>602</v>
      </c>
      <c r="C1" s="328"/>
      <c r="D1" s="328"/>
      <c r="E1" s="328"/>
      <c r="F1" s="328"/>
      <c r="G1" s="328"/>
      <c r="H1" s="328"/>
      <c r="I1" s="328"/>
      <c r="J1" s="328"/>
      <c r="K1" s="328"/>
    </row>
    <row r="2" spans="1:14" ht="15" customHeight="1" x14ac:dyDescent="0.25">
      <c r="A2" s="63"/>
      <c r="B2" s="64" t="s">
        <v>100</v>
      </c>
      <c r="C2" s="64" t="s">
        <v>149</v>
      </c>
      <c r="D2" s="64" t="s">
        <v>35</v>
      </c>
      <c r="E2" s="64" t="s">
        <v>89</v>
      </c>
      <c r="F2" s="64" t="s">
        <v>32</v>
      </c>
      <c r="G2" s="64" t="s">
        <v>577</v>
      </c>
      <c r="H2" s="64" t="s">
        <v>131</v>
      </c>
      <c r="I2" s="64" t="s">
        <v>578</v>
      </c>
      <c r="J2" s="64" t="s">
        <v>579</v>
      </c>
      <c r="K2" s="65" t="s">
        <v>580</v>
      </c>
      <c r="L2" s="3"/>
      <c r="N2" s="3"/>
    </row>
    <row r="3" spans="1:14" ht="15" customHeight="1" x14ac:dyDescent="0.25">
      <c r="A3" s="63"/>
      <c r="B3" s="64" t="s">
        <v>416</v>
      </c>
      <c r="C3" s="64" t="s">
        <v>417</v>
      </c>
      <c r="D3" s="64" t="s">
        <v>418</v>
      </c>
      <c r="E3" s="64" t="s">
        <v>212</v>
      </c>
      <c r="F3" s="64" t="s">
        <v>418</v>
      </c>
      <c r="G3" s="64" t="s">
        <v>581</v>
      </c>
      <c r="H3" s="64" t="s">
        <v>431</v>
      </c>
      <c r="I3" s="64" t="s">
        <v>419</v>
      </c>
      <c r="J3" s="64" t="s">
        <v>207</v>
      </c>
      <c r="K3" s="64" t="s">
        <v>207</v>
      </c>
    </row>
    <row r="4" spans="1:14" ht="15" customHeight="1" x14ac:dyDescent="0.25">
      <c r="A4" s="329" t="s">
        <v>603</v>
      </c>
      <c r="B4" s="66">
        <f>+Dados!B6</f>
        <v>2</v>
      </c>
      <c r="C4" s="67">
        <f>+'Vel  EfC'!C10</f>
        <v>2.5</v>
      </c>
      <c r="D4" s="66">
        <f t="shared" ref="D4" si="0">(B4*C4)/10</f>
        <v>0.5</v>
      </c>
      <c r="E4" s="68">
        <f>+'Vel  EfC'!E10</f>
        <v>75</v>
      </c>
      <c r="F4" s="66">
        <f t="shared" ref="F4" si="1">(D4*E4)/100</f>
        <v>0.375</v>
      </c>
      <c r="G4" s="68">
        <v>2</v>
      </c>
      <c r="H4" s="66">
        <f t="shared" ref="H4" si="2">1/F4*G4</f>
        <v>5.333333333333333</v>
      </c>
      <c r="I4" s="66">
        <v>1</v>
      </c>
      <c r="J4" s="66">
        <f t="shared" ref="J4" si="3">+H4*I4</f>
        <v>5.333333333333333</v>
      </c>
      <c r="K4" s="68">
        <f>+J4</f>
        <v>5.333333333333333</v>
      </c>
      <c r="L4" s="3"/>
      <c r="N4" s="3"/>
    </row>
    <row r="5" spans="1:14" ht="15" customHeight="1" x14ac:dyDescent="0.25">
      <c r="A5" s="320"/>
      <c r="B5" s="69"/>
      <c r="C5" s="66"/>
      <c r="D5" s="67"/>
      <c r="E5" s="66"/>
      <c r="F5" s="68"/>
      <c r="G5" s="66"/>
      <c r="H5" s="68"/>
      <c r="I5" s="66"/>
      <c r="J5" s="68"/>
      <c r="K5" s="68"/>
      <c r="L5" s="7"/>
      <c r="N5" s="3"/>
    </row>
    <row r="6" spans="1:14" ht="15" customHeight="1" x14ac:dyDescent="0.25">
      <c r="A6" s="320"/>
      <c r="B6" s="68" t="s">
        <v>420</v>
      </c>
      <c r="C6" s="68" t="s">
        <v>421</v>
      </c>
      <c r="D6" s="68" t="s">
        <v>210</v>
      </c>
      <c r="E6" s="68" t="s">
        <v>510</v>
      </c>
      <c r="F6" s="68" t="s">
        <v>511</v>
      </c>
      <c r="G6" s="48" t="s">
        <v>512</v>
      </c>
      <c r="H6" s="48" t="s">
        <v>498</v>
      </c>
      <c r="I6" s="48" t="s">
        <v>422</v>
      </c>
      <c r="J6" s="71" t="s">
        <v>92</v>
      </c>
      <c r="K6" s="71" t="s">
        <v>94</v>
      </c>
      <c r="L6" s="3"/>
      <c r="N6" s="3"/>
    </row>
    <row r="7" spans="1:14" ht="15" customHeight="1" x14ac:dyDescent="0.25">
      <c r="A7" s="320"/>
      <c r="B7" s="68" t="s">
        <v>205</v>
      </c>
      <c r="C7" s="68" t="s">
        <v>204</v>
      </c>
      <c r="D7" s="68" t="s">
        <v>206</v>
      </c>
      <c r="E7" s="68" t="s">
        <v>212</v>
      </c>
      <c r="F7" s="68" t="s">
        <v>212</v>
      </c>
      <c r="G7" s="48" t="s">
        <v>208</v>
      </c>
      <c r="H7" s="48" t="s">
        <v>208</v>
      </c>
      <c r="I7" s="48" t="s">
        <v>208</v>
      </c>
      <c r="J7" s="71" t="s">
        <v>208</v>
      </c>
      <c r="K7" s="71" t="s">
        <v>61</v>
      </c>
      <c r="L7" s="3"/>
      <c r="N7" s="3"/>
    </row>
    <row r="8" spans="1:14" ht="15" customHeight="1" x14ac:dyDescent="0.25">
      <c r="A8" s="320"/>
      <c r="B8" s="68">
        <v>500</v>
      </c>
      <c r="C8" s="68">
        <v>0</v>
      </c>
      <c r="D8" s="68">
        <f>+IHERA_Eq!H245</f>
        <v>10</v>
      </c>
      <c r="E8" s="66">
        <f>+IHERA_Eq!L1</f>
        <v>3</v>
      </c>
      <c r="F8" s="66">
        <v>0</v>
      </c>
      <c r="G8" s="66">
        <f>(B8)/(K4*D8)</f>
        <v>9.375</v>
      </c>
      <c r="H8" s="66">
        <f>((B8)/(2*K4))*(E8/100)</f>
        <v>1.40625</v>
      </c>
      <c r="I8" s="66">
        <f>((B8)/(2*K4)*(F8/100))</f>
        <v>0</v>
      </c>
      <c r="J8" s="66">
        <f t="shared" ref="J8" si="4">G8+H8+I8</f>
        <v>10.78125</v>
      </c>
      <c r="K8" s="66">
        <f>+J8*H4</f>
        <v>57.5</v>
      </c>
      <c r="L8" s="3"/>
      <c r="N8" s="3"/>
    </row>
    <row r="9" spans="1:14" ht="15" customHeight="1" x14ac:dyDescent="0.25">
      <c r="A9" s="320"/>
      <c r="B9" s="69"/>
      <c r="C9" s="66"/>
      <c r="D9" s="67"/>
      <c r="E9" s="66"/>
      <c r="F9" s="68"/>
      <c r="G9" s="66"/>
      <c r="H9" s="68"/>
      <c r="I9" s="66"/>
      <c r="J9" s="68"/>
      <c r="K9" s="68"/>
    </row>
    <row r="10" spans="1:14" ht="15" customHeight="1" x14ac:dyDescent="0.25">
      <c r="A10" s="320"/>
      <c r="B10" s="69" t="s">
        <v>582</v>
      </c>
      <c r="C10" s="68" t="s">
        <v>513</v>
      </c>
      <c r="D10" s="68" t="s">
        <v>423</v>
      </c>
      <c r="E10" s="68" t="s">
        <v>514</v>
      </c>
      <c r="F10" s="48" t="s">
        <v>583</v>
      </c>
      <c r="G10" s="68" t="s">
        <v>516</v>
      </c>
      <c r="H10" s="68" t="s">
        <v>517</v>
      </c>
      <c r="I10" s="48" t="s">
        <v>518</v>
      </c>
      <c r="J10" s="70"/>
      <c r="K10" s="70"/>
    </row>
    <row r="11" spans="1:14" ht="15" customHeight="1" x14ac:dyDescent="0.25">
      <c r="A11" s="320"/>
      <c r="B11" s="69" t="s">
        <v>204</v>
      </c>
      <c r="C11" s="68" t="s">
        <v>39</v>
      </c>
      <c r="D11" s="68" t="s">
        <v>424</v>
      </c>
      <c r="E11" s="68" t="s">
        <v>213</v>
      </c>
      <c r="F11" s="48" t="s">
        <v>208</v>
      </c>
      <c r="G11" s="68" t="s">
        <v>214</v>
      </c>
      <c r="H11" s="68" t="s">
        <v>213</v>
      </c>
      <c r="I11" s="48" t="s">
        <v>208</v>
      </c>
      <c r="J11" s="70"/>
      <c r="K11" s="70"/>
    </row>
    <row r="12" spans="1:14" ht="15" customHeight="1" x14ac:dyDescent="0.25">
      <c r="A12" s="320"/>
      <c r="B12" s="63">
        <v>0</v>
      </c>
      <c r="C12" s="66">
        <v>0</v>
      </c>
      <c r="D12" s="66">
        <f>+B12*C12</f>
        <v>0</v>
      </c>
      <c r="E12" s="66">
        <v>0</v>
      </c>
      <c r="F12" s="66">
        <f>+D12*E12</f>
        <v>0</v>
      </c>
      <c r="G12" s="72">
        <v>0</v>
      </c>
      <c r="H12" s="66">
        <v>0</v>
      </c>
      <c r="I12" s="66">
        <f>C8*G12*H12</f>
        <v>0</v>
      </c>
      <c r="J12" s="70"/>
      <c r="K12" s="70"/>
      <c r="L12" s="3"/>
      <c r="N12" s="3"/>
    </row>
    <row r="13" spans="1:14" ht="15" customHeight="1" x14ac:dyDescent="0.25">
      <c r="A13" s="320"/>
      <c r="B13" s="69"/>
      <c r="C13" s="66"/>
      <c r="D13" s="67"/>
      <c r="E13" s="66"/>
      <c r="F13" s="68"/>
      <c r="G13" s="66"/>
      <c r="H13" s="68"/>
      <c r="I13" s="66"/>
      <c r="J13" s="68"/>
      <c r="K13" s="68"/>
      <c r="L13" s="3"/>
      <c r="N13" s="3"/>
    </row>
    <row r="14" spans="1:14" ht="15" customHeight="1" x14ac:dyDescent="0.25">
      <c r="A14" s="320"/>
      <c r="B14" s="68" t="s">
        <v>519</v>
      </c>
      <c r="C14" s="68" t="s">
        <v>520</v>
      </c>
      <c r="D14" s="48" t="s">
        <v>521</v>
      </c>
      <c r="E14" s="68" t="s">
        <v>584</v>
      </c>
      <c r="F14" s="48" t="s">
        <v>584</v>
      </c>
      <c r="G14" s="68" t="s">
        <v>585</v>
      </c>
      <c r="H14" s="68" t="s">
        <v>586</v>
      </c>
      <c r="I14" s="48" t="s">
        <v>524</v>
      </c>
      <c r="J14" s="71" t="s">
        <v>96</v>
      </c>
      <c r="K14" s="71" t="s">
        <v>98</v>
      </c>
      <c r="L14" s="3"/>
      <c r="N14" s="3"/>
    </row>
    <row r="15" spans="1:14" ht="15" customHeight="1" x14ac:dyDescent="0.25">
      <c r="A15" s="320"/>
      <c r="B15" s="68" t="s">
        <v>205</v>
      </c>
      <c r="C15" s="68" t="s">
        <v>215</v>
      </c>
      <c r="D15" s="48" t="s">
        <v>208</v>
      </c>
      <c r="E15" s="68" t="s">
        <v>212</v>
      </c>
      <c r="F15" s="48" t="s">
        <v>208</v>
      </c>
      <c r="G15" s="68" t="s">
        <v>208</v>
      </c>
      <c r="H15" s="68" t="s">
        <v>587</v>
      </c>
      <c r="I15" s="48" t="s">
        <v>208</v>
      </c>
      <c r="J15" s="71" t="s">
        <v>208</v>
      </c>
      <c r="K15" s="71" t="s">
        <v>61</v>
      </c>
    </row>
    <row r="16" spans="1:14" ht="15" customHeight="1" x14ac:dyDescent="0.25">
      <c r="A16" s="320"/>
      <c r="B16" s="68">
        <v>0</v>
      </c>
      <c r="C16" s="68">
        <v>0.1</v>
      </c>
      <c r="D16" s="66">
        <f>+B16/C16</f>
        <v>0</v>
      </c>
      <c r="E16" s="66">
        <f>+IHERA_Eq!J245</f>
        <v>0.04</v>
      </c>
      <c r="F16" s="66">
        <f>B8*(E16/100)</f>
        <v>0.2</v>
      </c>
      <c r="G16" s="68">
        <v>0</v>
      </c>
      <c r="H16" s="68">
        <v>0</v>
      </c>
      <c r="I16" s="68">
        <f>+G16*H16</f>
        <v>0</v>
      </c>
      <c r="J16" s="66">
        <f>F12+I12+D16+F16+I16</f>
        <v>0.2</v>
      </c>
      <c r="K16" s="66">
        <f>+J16*H4</f>
        <v>1.0666666666666667</v>
      </c>
      <c r="L16" s="3"/>
      <c r="N16" s="3"/>
    </row>
    <row r="17" spans="1:14" ht="15" customHeight="1" x14ac:dyDescent="0.25">
      <c r="A17" s="63"/>
      <c r="B17" s="69"/>
      <c r="C17" s="66"/>
      <c r="D17" s="67"/>
      <c r="E17" s="66"/>
      <c r="F17" s="68"/>
      <c r="G17" s="66"/>
      <c r="H17" s="68"/>
      <c r="I17" s="66"/>
      <c r="J17" s="68"/>
      <c r="K17" s="68"/>
      <c r="L17" s="3"/>
      <c r="N17" s="3"/>
    </row>
    <row r="18" spans="1:14" ht="15" customHeight="1" x14ac:dyDescent="0.25">
      <c r="A18" s="63"/>
      <c r="B18" s="69"/>
      <c r="C18" s="337" t="s">
        <v>625</v>
      </c>
      <c r="D18" s="340"/>
      <c r="E18" s="340"/>
      <c r="F18" s="340"/>
      <c r="G18" s="339" t="s">
        <v>1047</v>
      </c>
      <c r="H18" s="339"/>
      <c r="I18" s="119">
        <f>+Trator53!A28</f>
        <v>300</v>
      </c>
      <c r="J18" s="332" t="s">
        <v>604</v>
      </c>
      <c r="K18" s="334"/>
    </row>
    <row r="19" spans="1:14" ht="15" customHeight="1" x14ac:dyDescent="0.25">
      <c r="A19" s="68" t="s">
        <v>28</v>
      </c>
      <c r="B19" s="68" t="s">
        <v>588</v>
      </c>
      <c r="C19" s="73" t="s">
        <v>619</v>
      </c>
      <c r="D19" s="73" t="s">
        <v>620</v>
      </c>
      <c r="E19" s="73" t="s">
        <v>621</v>
      </c>
      <c r="F19" s="68" t="s">
        <v>622</v>
      </c>
      <c r="G19" s="46" t="s">
        <v>92</v>
      </c>
      <c r="H19" s="46" t="s">
        <v>96</v>
      </c>
      <c r="I19" s="85" t="s">
        <v>216</v>
      </c>
      <c r="J19" s="74" t="s">
        <v>589</v>
      </c>
      <c r="K19" s="74" t="s">
        <v>623</v>
      </c>
    </row>
    <row r="20" spans="1:14" ht="15" customHeight="1" x14ac:dyDescent="0.25">
      <c r="A20" s="68" t="s">
        <v>591</v>
      </c>
      <c r="B20" s="68" t="s">
        <v>207</v>
      </c>
      <c r="C20" s="68" t="s">
        <v>205</v>
      </c>
      <c r="D20" s="68" t="s">
        <v>205</v>
      </c>
      <c r="E20" s="68" t="s">
        <v>205</v>
      </c>
      <c r="F20" s="68" t="s">
        <v>205</v>
      </c>
      <c r="G20" s="46" t="s">
        <v>208</v>
      </c>
      <c r="H20" s="46" t="s">
        <v>208</v>
      </c>
      <c r="I20" s="85" t="s">
        <v>208</v>
      </c>
      <c r="J20" s="74" t="s">
        <v>205</v>
      </c>
      <c r="K20" s="74" t="s">
        <v>205</v>
      </c>
    </row>
    <row r="21" spans="1:14" ht="15" customHeight="1" x14ac:dyDescent="0.25">
      <c r="A21" s="68">
        <v>1</v>
      </c>
      <c r="B21" s="68">
        <f>+K4</f>
        <v>5.333333333333333</v>
      </c>
      <c r="C21" s="66">
        <f>($B$8*0.9)/(B21*$D$8)+(($B$8*1.1)/(2*B21))*($E$8/100)+(($B$8*1.1)/(2*B21)*($F$8/100))</f>
        <v>9.984375</v>
      </c>
      <c r="D21" s="66">
        <f>$D$12*$E$12+$C$8*$G$12*$H$12+$B$16/$C$16+$B$8*($E$16/100)+$G$16*$H$16</f>
        <v>0.2</v>
      </c>
      <c r="E21" s="66">
        <f>+C21+D21</f>
        <v>10.184374999999999</v>
      </c>
      <c r="F21" s="66">
        <f>+A21*E21</f>
        <v>10.184374999999999</v>
      </c>
      <c r="G21" s="75">
        <f>+Trator53!B28</f>
        <v>11.102966666666667</v>
      </c>
      <c r="H21" s="75">
        <f>+Trator53!C28</f>
        <v>15.650053333333332</v>
      </c>
      <c r="I21" s="77">
        <f>+G21+H21</f>
        <v>26.753019999999999</v>
      </c>
      <c r="J21" s="77">
        <f>+E21+$I$21</f>
        <v>36.937394999999995</v>
      </c>
      <c r="K21" s="77">
        <f>+B21*J21</f>
        <v>196.99943999999996</v>
      </c>
    </row>
    <row r="22" spans="1:14" ht="15" customHeight="1" x14ac:dyDescent="0.25">
      <c r="A22" s="68">
        <f>+A21+2</f>
        <v>3</v>
      </c>
      <c r="B22" s="68">
        <f>+A22*$K$4</f>
        <v>16</v>
      </c>
      <c r="C22" s="66">
        <f t="shared" ref="C22:C30" si="5">($B$8*0.9)/(B22*$D$8)+(($B$8*1.1)/(2*B22))*($E$8/100)+(($B$8*1.1)/(2*B22)*($F$8/100))</f>
        <v>3.328125</v>
      </c>
      <c r="D22" s="66">
        <f t="shared" ref="D22:D30" si="6">$D$12*$E$12+$C$8*$G$12*$H$12+$B$16/$C$16+$B$8*($E$16/100)+$G$16*$H$16</f>
        <v>0.2</v>
      </c>
      <c r="E22" s="66">
        <f t="shared" ref="E22:E30" si="7">+C22+D22</f>
        <v>3.5281250000000002</v>
      </c>
      <c r="F22" s="66">
        <f t="shared" ref="F22:F30" si="8">+A22*E22</f>
        <v>10.584375000000001</v>
      </c>
      <c r="G22" s="75"/>
      <c r="H22" s="75"/>
      <c r="I22" s="76"/>
      <c r="J22" s="77">
        <f t="shared" ref="J22:J30" si="9">+E22+$I$21</f>
        <v>30.281144999999999</v>
      </c>
      <c r="K22" s="77">
        <f t="shared" ref="K22:K30" si="10">+B22*J22</f>
        <v>484.49831999999998</v>
      </c>
    </row>
    <row r="23" spans="1:14" ht="15" customHeight="1" x14ac:dyDescent="0.25">
      <c r="A23" s="68">
        <f t="shared" ref="A23:A29" si="11">+A22+2</f>
        <v>5</v>
      </c>
      <c r="B23" s="68">
        <f t="shared" ref="B23:B30" si="12">+A23*$K$4</f>
        <v>26.666666666666664</v>
      </c>
      <c r="C23" s="66">
        <f t="shared" si="5"/>
        <v>1.9968750000000002</v>
      </c>
      <c r="D23" s="66">
        <f t="shared" si="6"/>
        <v>0.2</v>
      </c>
      <c r="E23" s="66">
        <f t="shared" si="7"/>
        <v>2.1968750000000004</v>
      </c>
      <c r="F23" s="66">
        <f t="shared" si="8"/>
        <v>10.984375000000002</v>
      </c>
      <c r="G23" s="75"/>
      <c r="H23" s="75"/>
      <c r="I23" s="76"/>
      <c r="J23" s="77">
        <f t="shared" si="9"/>
        <v>28.949894999999998</v>
      </c>
      <c r="K23" s="77">
        <f t="shared" si="10"/>
        <v>771.99719999999991</v>
      </c>
    </row>
    <row r="24" spans="1:14" ht="15" customHeight="1" x14ac:dyDescent="0.25">
      <c r="A24" s="68">
        <f t="shared" si="11"/>
        <v>7</v>
      </c>
      <c r="B24" s="68">
        <f t="shared" si="12"/>
        <v>37.333333333333329</v>
      </c>
      <c r="C24" s="66">
        <f t="shared" si="5"/>
        <v>1.4263392857142858</v>
      </c>
      <c r="D24" s="66">
        <f t="shared" si="6"/>
        <v>0.2</v>
      </c>
      <c r="E24" s="66">
        <f t="shared" si="7"/>
        <v>1.6263392857142858</v>
      </c>
      <c r="F24" s="66">
        <f t="shared" si="8"/>
        <v>11.384375</v>
      </c>
      <c r="G24" s="75"/>
      <c r="H24" s="75"/>
      <c r="I24" s="76"/>
      <c r="J24" s="77">
        <f t="shared" si="9"/>
        <v>28.379359285714287</v>
      </c>
      <c r="K24" s="77">
        <f t="shared" si="10"/>
        <v>1059.4960799999999</v>
      </c>
    </row>
    <row r="25" spans="1:14" ht="15" customHeight="1" x14ac:dyDescent="0.25">
      <c r="A25" s="68">
        <f t="shared" si="11"/>
        <v>9</v>
      </c>
      <c r="B25" s="68">
        <f t="shared" si="12"/>
        <v>48</v>
      </c>
      <c r="C25" s="66">
        <f t="shared" si="5"/>
        <v>1.109375</v>
      </c>
      <c r="D25" s="66">
        <f t="shared" si="6"/>
        <v>0.2</v>
      </c>
      <c r="E25" s="66">
        <f t="shared" si="7"/>
        <v>1.309375</v>
      </c>
      <c r="F25" s="66">
        <f t="shared" si="8"/>
        <v>11.784374999999999</v>
      </c>
      <c r="G25" s="75"/>
      <c r="H25" s="75"/>
      <c r="I25" s="76"/>
      <c r="J25" s="77">
        <f t="shared" si="9"/>
        <v>28.062394999999999</v>
      </c>
      <c r="K25" s="77">
        <f t="shared" si="10"/>
        <v>1346.99496</v>
      </c>
    </row>
    <row r="26" spans="1:14" ht="15" customHeight="1" x14ac:dyDescent="0.25">
      <c r="A26" s="68">
        <f t="shared" si="11"/>
        <v>11</v>
      </c>
      <c r="B26" s="68">
        <f t="shared" si="12"/>
        <v>58.666666666666664</v>
      </c>
      <c r="C26" s="66">
        <f t="shared" si="5"/>
        <v>0.90767045454545459</v>
      </c>
      <c r="D26" s="66">
        <f t="shared" si="6"/>
        <v>0.2</v>
      </c>
      <c r="E26" s="66">
        <f t="shared" si="7"/>
        <v>1.1076704545454545</v>
      </c>
      <c r="F26" s="66">
        <f t="shared" si="8"/>
        <v>12.184374999999999</v>
      </c>
      <c r="G26" s="75"/>
      <c r="H26" s="75"/>
      <c r="I26" s="76"/>
      <c r="J26" s="77">
        <f t="shared" si="9"/>
        <v>27.860690454545455</v>
      </c>
      <c r="K26" s="77">
        <f t="shared" si="10"/>
        <v>1634.4938400000001</v>
      </c>
    </row>
    <row r="27" spans="1:14" ht="15" customHeight="1" x14ac:dyDescent="0.25">
      <c r="A27" s="68">
        <f t="shared" si="11"/>
        <v>13</v>
      </c>
      <c r="B27" s="68">
        <f t="shared" si="12"/>
        <v>69.333333333333329</v>
      </c>
      <c r="C27" s="66">
        <f t="shared" si="5"/>
        <v>0.76802884615384615</v>
      </c>
      <c r="D27" s="66">
        <f t="shared" si="6"/>
        <v>0.2</v>
      </c>
      <c r="E27" s="66">
        <f t="shared" si="7"/>
        <v>0.96802884615384621</v>
      </c>
      <c r="F27" s="66">
        <f t="shared" si="8"/>
        <v>12.584375000000001</v>
      </c>
      <c r="G27" s="75"/>
      <c r="H27" s="75"/>
      <c r="I27" s="76"/>
      <c r="J27" s="77">
        <f t="shared" si="9"/>
        <v>27.721048846153845</v>
      </c>
      <c r="K27" s="77">
        <f t="shared" si="10"/>
        <v>1921.9927199999997</v>
      </c>
    </row>
    <row r="28" spans="1:14" ht="15" customHeight="1" x14ac:dyDescent="0.25">
      <c r="A28" s="68">
        <f t="shared" si="11"/>
        <v>15</v>
      </c>
      <c r="B28" s="68">
        <f t="shared" si="12"/>
        <v>80</v>
      </c>
      <c r="C28" s="66">
        <f t="shared" si="5"/>
        <v>0.66562500000000002</v>
      </c>
      <c r="D28" s="66">
        <f t="shared" si="6"/>
        <v>0.2</v>
      </c>
      <c r="E28" s="66">
        <f t="shared" si="7"/>
        <v>0.86562500000000009</v>
      </c>
      <c r="F28" s="66">
        <f t="shared" si="8"/>
        <v>12.984375000000002</v>
      </c>
      <c r="G28" s="75"/>
      <c r="H28" s="75"/>
      <c r="I28" s="76"/>
      <c r="J28" s="77">
        <f t="shared" si="9"/>
        <v>27.618645000000001</v>
      </c>
      <c r="K28" s="77">
        <f t="shared" si="10"/>
        <v>2209.4916000000003</v>
      </c>
    </row>
    <row r="29" spans="1:14" ht="15" customHeight="1" x14ac:dyDescent="0.25">
      <c r="A29" s="68">
        <f t="shared" si="11"/>
        <v>17</v>
      </c>
      <c r="B29" s="68">
        <f t="shared" si="12"/>
        <v>90.666666666666657</v>
      </c>
      <c r="C29" s="66">
        <f t="shared" si="5"/>
        <v>0.58731617647058831</v>
      </c>
      <c r="D29" s="66">
        <f t="shared" si="6"/>
        <v>0.2</v>
      </c>
      <c r="E29" s="66">
        <f t="shared" si="7"/>
        <v>0.78731617647058827</v>
      </c>
      <c r="F29" s="66">
        <f t="shared" si="8"/>
        <v>13.384375</v>
      </c>
      <c r="G29" s="75"/>
      <c r="H29" s="75"/>
      <c r="I29" s="76"/>
      <c r="J29" s="77">
        <f t="shared" si="9"/>
        <v>27.540336176470589</v>
      </c>
      <c r="K29" s="77">
        <f t="shared" si="10"/>
        <v>2496.9904799999999</v>
      </c>
    </row>
    <row r="30" spans="1:14" ht="15" customHeight="1" x14ac:dyDescent="0.25">
      <c r="A30" s="68">
        <f>+A29+3</f>
        <v>20</v>
      </c>
      <c r="B30" s="68">
        <f t="shared" si="12"/>
        <v>106.66666666666666</v>
      </c>
      <c r="C30" s="66">
        <f t="shared" si="5"/>
        <v>0.49921875000000004</v>
      </c>
      <c r="D30" s="66">
        <f t="shared" si="6"/>
        <v>0.2</v>
      </c>
      <c r="E30" s="66">
        <f t="shared" si="7"/>
        <v>0.69921875</v>
      </c>
      <c r="F30" s="66">
        <f t="shared" si="8"/>
        <v>13.984375</v>
      </c>
      <c r="G30" s="75"/>
      <c r="H30" s="75"/>
      <c r="I30" s="76"/>
      <c r="J30" s="77">
        <f t="shared" si="9"/>
        <v>27.452238749999999</v>
      </c>
      <c r="K30" s="77">
        <f t="shared" si="10"/>
        <v>2928.2387999999996</v>
      </c>
    </row>
    <row r="31" spans="1:14" s="80" customFormat="1" ht="15" customHeight="1" x14ac:dyDescent="0.25">
      <c r="A31" s="325" t="s">
        <v>614</v>
      </c>
      <c r="B31" s="326"/>
      <c r="C31" s="326"/>
      <c r="D31" s="326"/>
      <c r="E31" s="326"/>
      <c r="F31" s="326"/>
      <c r="G31" s="326"/>
      <c r="H31" s="326"/>
      <c r="I31" s="326"/>
      <c r="J31" s="326"/>
      <c r="K31" s="326"/>
    </row>
    <row r="32" spans="1:14" s="80" customFormat="1" ht="15" customHeight="1" x14ac:dyDescent="0.25">
      <c r="A32" s="97">
        <f>+Dados!B5</f>
        <v>9</v>
      </c>
      <c r="B32" s="98">
        <f t="shared" ref="B32" si="13">+A32*$K$4</f>
        <v>48</v>
      </c>
      <c r="C32" s="51">
        <f>($B$8*0.9)/(B32*$D$8)+(($B$8*1.1)/(2*B32))*($E$8/100)+(($B$8*1.1)/(2*B32)*($F$8/100))</f>
        <v>1.109375</v>
      </c>
      <c r="D32" s="51">
        <f>$D$12*$E$12+$C$8*$G$12*$H$12+$B$16/$C$16+$B$8*($E$16/100)+$G$16*$H$16</f>
        <v>0.2</v>
      </c>
      <c r="E32" s="51">
        <f>+C32+D32</f>
        <v>1.309375</v>
      </c>
      <c r="F32" s="51">
        <f>+A32*E32</f>
        <v>11.784374999999999</v>
      </c>
      <c r="G32" s="53">
        <v>20</v>
      </c>
      <c r="H32" s="53">
        <f>+$H$4*G32</f>
        <v>106.66666666666666</v>
      </c>
      <c r="I32" s="99"/>
      <c r="J32" s="100">
        <f>+E32+$I$21</f>
        <v>28.062394999999999</v>
      </c>
      <c r="K32" s="100">
        <f>+B32*J32</f>
        <v>1346.99496</v>
      </c>
    </row>
    <row r="33" spans="1:14" x14ac:dyDescent="0.25">
      <c r="A33" s="3"/>
      <c r="B33" s="3"/>
      <c r="C33" s="3"/>
      <c r="D33" s="3"/>
      <c r="E33" s="66"/>
      <c r="F33" s="18"/>
      <c r="G33" s="3"/>
      <c r="H33" s="18"/>
      <c r="I33" s="18"/>
      <c r="J33" s="18"/>
      <c r="K33" s="18"/>
    </row>
    <row r="34" spans="1:14" x14ac:dyDescent="0.25">
      <c r="A34" s="3"/>
      <c r="B34" s="3"/>
      <c r="C34" s="3"/>
      <c r="D34" s="3"/>
      <c r="E34" s="66"/>
      <c r="F34" s="18"/>
      <c r="G34" s="3"/>
      <c r="H34" s="18"/>
      <c r="I34" s="18"/>
      <c r="J34" s="18"/>
      <c r="K34" s="18"/>
    </row>
    <row r="35" spans="1:14" x14ac:dyDescent="0.25">
      <c r="A35" s="3"/>
      <c r="B35" s="3"/>
      <c r="C35" s="3"/>
      <c r="D35" s="3"/>
      <c r="E35" s="66"/>
      <c r="F35" s="18"/>
      <c r="G35" s="3"/>
      <c r="H35" s="18"/>
      <c r="I35" s="18"/>
      <c r="J35" s="18"/>
      <c r="K35" s="18"/>
    </row>
    <row r="36" spans="1:14" x14ac:dyDescent="0.25">
      <c r="A36" s="3"/>
      <c r="B36" s="3"/>
      <c r="C36" s="3"/>
      <c r="D36" s="3"/>
      <c r="E36" s="66"/>
      <c r="F36" s="18"/>
      <c r="G36" s="3"/>
      <c r="H36" s="18"/>
      <c r="I36" s="18"/>
      <c r="J36" s="18"/>
      <c r="K36" s="18"/>
    </row>
    <row r="37" spans="1:14" x14ac:dyDescent="0.25">
      <c r="A37" s="3"/>
      <c r="B37" s="3"/>
      <c r="C37" s="3"/>
      <c r="D37" s="3"/>
      <c r="E37" s="66"/>
      <c r="F37" s="18"/>
      <c r="G37" s="3"/>
      <c r="H37" s="18"/>
      <c r="I37" s="18"/>
      <c r="J37" s="18"/>
      <c r="K37" s="18"/>
    </row>
    <row r="38" spans="1:14" x14ac:dyDescent="0.25">
      <c r="A38" s="18"/>
      <c r="B38" s="4"/>
      <c r="C38" s="18"/>
      <c r="D38" s="18"/>
      <c r="E38" s="66"/>
      <c r="F38" s="18"/>
      <c r="G38" s="18"/>
      <c r="H38" s="18"/>
      <c r="I38" s="18"/>
      <c r="J38" s="18"/>
      <c r="K38" s="18"/>
      <c r="L38" s="5"/>
    </row>
    <row r="39" spans="1:14" x14ac:dyDescent="0.25">
      <c r="A39" s="18"/>
      <c r="B39" s="5"/>
      <c r="C39" s="18"/>
      <c r="D39" s="5"/>
      <c r="E39" s="66"/>
      <c r="F39" s="18"/>
      <c r="G39" s="18"/>
      <c r="H39" s="18"/>
      <c r="I39" s="18"/>
      <c r="J39" s="18"/>
      <c r="K39" s="18"/>
    </row>
    <row r="40" spans="1:14" x14ac:dyDescent="0.25">
      <c r="A40" s="18"/>
      <c r="B40" s="4"/>
      <c r="C40" s="18"/>
      <c r="D40" s="18"/>
      <c r="E40" s="66"/>
      <c r="F40" s="18"/>
      <c r="G40" s="18"/>
      <c r="H40" s="18"/>
      <c r="I40" s="18"/>
      <c r="J40" s="18"/>
      <c r="K40" s="18"/>
    </row>
    <row r="41" spans="1:14" x14ac:dyDescent="0.25">
      <c r="A41" s="18"/>
      <c r="B41" s="4"/>
      <c r="C41" s="18"/>
      <c r="D41" s="18"/>
      <c r="E41" s="66"/>
      <c r="F41" s="18"/>
      <c r="G41" s="18"/>
      <c r="H41" s="18"/>
      <c r="I41" s="18"/>
      <c r="J41" s="18"/>
      <c r="K41" s="18"/>
    </row>
    <row r="42" spans="1:14" x14ac:dyDescent="0.25">
      <c r="A42" s="18"/>
      <c r="B42" s="4"/>
      <c r="C42" s="18"/>
      <c r="D42" s="18"/>
      <c r="E42" s="18"/>
      <c r="F42" s="18"/>
      <c r="G42" s="18"/>
      <c r="H42" s="18"/>
      <c r="I42" s="18"/>
      <c r="J42" s="18"/>
      <c r="K42" s="18"/>
    </row>
    <row r="43" spans="1:14" x14ac:dyDescent="0.25">
      <c r="A43" s="18"/>
      <c r="B43" s="4"/>
      <c r="C43" s="18"/>
      <c r="D43" s="18"/>
      <c r="E43" s="18"/>
      <c r="F43" s="18"/>
      <c r="G43" s="18"/>
      <c r="H43" s="18"/>
      <c r="I43" s="18"/>
      <c r="J43" s="18"/>
      <c r="K43" s="18"/>
    </row>
    <row r="44" spans="1:14" x14ac:dyDescent="0.25">
      <c r="A44" s="18"/>
      <c r="B44" s="4"/>
      <c r="C44" s="18"/>
      <c r="D44" s="18"/>
      <c r="E44" s="18"/>
      <c r="F44" s="18"/>
      <c r="G44" s="18"/>
      <c r="H44" s="18"/>
      <c r="I44" s="18"/>
      <c r="J44" s="18"/>
      <c r="K44" s="18"/>
    </row>
    <row r="45" spans="1:14" ht="13.8" x14ac:dyDescent="0.25">
      <c r="A45" s="18"/>
      <c r="B45" s="4"/>
      <c r="C45" s="18"/>
      <c r="D45" s="18"/>
      <c r="E45" s="18"/>
      <c r="F45" s="18"/>
      <c r="G45" s="18"/>
      <c r="H45" s="18"/>
      <c r="I45" s="18"/>
      <c r="J45" s="18"/>
      <c r="K45" s="18"/>
      <c r="L45" s="1"/>
      <c r="N45" s="6"/>
    </row>
    <row r="46" spans="1:14" ht="13.8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"/>
    </row>
    <row r="47" spans="1:14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</row>
    <row r="48" spans="1:14" x14ac:dyDescent="0.25">
      <c r="A48" s="18"/>
      <c r="B48" s="4"/>
      <c r="C48" s="18"/>
      <c r="D48" s="18"/>
      <c r="E48" s="18"/>
      <c r="F48" s="18"/>
      <c r="G48" s="18"/>
      <c r="H48" s="18"/>
      <c r="I48" s="18"/>
      <c r="J48" s="18"/>
      <c r="K48" s="18"/>
      <c r="L48" s="5"/>
    </row>
    <row r="49" spans="1:14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</row>
    <row r="50" spans="1:14" x14ac:dyDescent="0.25">
      <c r="A50" s="18"/>
      <c r="B50" s="4"/>
      <c r="C50" s="18"/>
      <c r="D50" s="18"/>
      <c r="E50" s="18"/>
      <c r="F50" s="18"/>
      <c r="G50" s="18"/>
      <c r="H50" s="18"/>
      <c r="I50" s="18"/>
      <c r="J50" s="18"/>
      <c r="K50" s="18"/>
      <c r="L50" s="4"/>
      <c r="M50" s="4"/>
      <c r="N50" s="4"/>
    </row>
    <row r="51" spans="1:14" x14ac:dyDescent="0.25">
      <c r="A51" s="18"/>
      <c r="B51" s="4"/>
      <c r="C51" s="4"/>
      <c r="D51" s="4"/>
      <c r="E51" s="4"/>
      <c r="F51" s="4"/>
      <c r="G51" s="18"/>
      <c r="H51" s="4"/>
      <c r="I51" s="18"/>
      <c r="J51" s="4"/>
      <c r="K51" s="18"/>
    </row>
    <row r="52" spans="1:14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</row>
    <row r="53" spans="1:14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</row>
    <row r="54" spans="1:14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</row>
    <row r="55" spans="1:14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</row>
    <row r="56" spans="1:14" x14ac:dyDescent="0.2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</row>
    <row r="57" spans="1:14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</row>
  </sheetData>
  <mergeCells count="6">
    <mergeCell ref="A31:K31"/>
    <mergeCell ref="B1:K1"/>
    <mergeCell ref="A4:A16"/>
    <mergeCell ref="G18:H18"/>
    <mergeCell ref="J18:K18"/>
    <mergeCell ref="C18:F18"/>
  </mergeCells>
  <hyperlinks>
    <hyperlink ref="A1" location="Indice!A1" display="Índice"/>
  </hyperlinks>
  <printOptions horizontalCentered="1" verticalCentered="1" gridLines="1"/>
  <pageMargins left="7.874015748031496E-2" right="7.874015748031496E-2" top="7.874015748031496E-2" bottom="7.874015748031496E-2" header="0.31496062992125984" footer="0.31496062992125984"/>
  <pageSetup fitToWidth="0" fitToHeight="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zoomScaleSheetLayoutView="100" workbookViewId="0">
      <pane ySplit="1" topLeftCell="A2" activePane="bottomLeft" state="frozen"/>
      <selection pane="bottomLeft" activeCell="I9" sqref="I9"/>
    </sheetView>
  </sheetViews>
  <sheetFormatPr defaultColWidth="8" defaultRowHeight="13.2" x14ac:dyDescent="0.25"/>
  <cols>
    <col min="1" max="1" width="12.33203125" customWidth="1"/>
    <col min="2" max="9" width="8.6640625" customWidth="1"/>
    <col min="10" max="10" width="10.88671875" customWidth="1"/>
    <col min="11" max="11" width="8.6640625" customWidth="1"/>
  </cols>
  <sheetData>
    <row r="1" spans="1:11" ht="15" customHeight="1" x14ac:dyDescent="0.3">
      <c r="A1" s="297" t="s">
        <v>869</v>
      </c>
      <c r="B1" s="327" t="s">
        <v>605</v>
      </c>
      <c r="C1" s="328"/>
      <c r="D1" s="328"/>
      <c r="E1" s="328"/>
      <c r="F1" s="328"/>
      <c r="G1" s="328"/>
      <c r="H1" s="328"/>
      <c r="I1" s="328"/>
      <c r="J1" s="328"/>
      <c r="K1" s="328"/>
    </row>
    <row r="2" spans="1:11" ht="15" customHeight="1" x14ac:dyDescent="0.25">
      <c r="A2" s="63"/>
      <c r="B2" s="64" t="s">
        <v>100</v>
      </c>
      <c r="C2" s="64" t="s">
        <v>149</v>
      </c>
      <c r="D2" s="64" t="s">
        <v>35</v>
      </c>
      <c r="E2" s="64" t="s">
        <v>89</v>
      </c>
      <c r="F2" s="64" t="s">
        <v>32</v>
      </c>
      <c r="G2" s="64" t="s">
        <v>577</v>
      </c>
      <c r="H2" s="64" t="s">
        <v>131</v>
      </c>
      <c r="I2" s="64" t="s">
        <v>578</v>
      </c>
      <c r="J2" s="64" t="s">
        <v>579</v>
      </c>
      <c r="K2" s="65" t="s">
        <v>580</v>
      </c>
    </row>
    <row r="3" spans="1:11" ht="15" customHeight="1" x14ac:dyDescent="0.25">
      <c r="A3" s="63"/>
      <c r="B3" s="64" t="s">
        <v>416</v>
      </c>
      <c r="C3" s="64" t="s">
        <v>417</v>
      </c>
      <c r="D3" s="64" t="s">
        <v>418</v>
      </c>
      <c r="E3" s="64" t="s">
        <v>212</v>
      </c>
      <c r="F3" s="64" t="s">
        <v>418</v>
      </c>
      <c r="G3" s="64" t="s">
        <v>581</v>
      </c>
      <c r="H3" s="64" t="s">
        <v>431</v>
      </c>
      <c r="I3" s="64" t="s">
        <v>419</v>
      </c>
      <c r="J3" s="64" t="s">
        <v>207</v>
      </c>
      <c r="K3" s="64" t="s">
        <v>207</v>
      </c>
    </row>
    <row r="4" spans="1:11" ht="15" customHeight="1" x14ac:dyDescent="0.25">
      <c r="A4" s="329" t="s">
        <v>606</v>
      </c>
      <c r="B4" s="66">
        <f>+Dados!B6</f>
        <v>2</v>
      </c>
      <c r="C4" s="67">
        <f>+'Vel  EfC'!C28</f>
        <v>5</v>
      </c>
      <c r="D4" s="66">
        <f t="shared" ref="D4" si="0">(B4*C4)/10</f>
        <v>1</v>
      </c>
      <c r="E4" s="68">
        <f>+'Vel  EfC'!E28</f>
        <v>40</v>
      </c>
      <c r="F4" s="66">
        <f t="shared" ref="F4" si="1">(D4*E4)/100</f>
        <v>0.4</v>
      </c>
      <c r="G4" s="68">
        <v>5</v>
      </c>
      <c r="H4" s="66">
        <f t="shared" ref="H4" si="2">1/F4*G4</f>
        <v>12.5</v>
      </c>
      <c r="I4" s="66">
        <v>1</v>
      </c>
      <c r="J4" s="66">
        <f t="shared" ref="J4" si="3">+H4*I4</f>
        <v>12.5</v>
      </c>
      <c r="K4" s="68">
        <f>+J4</f>
        <v>12.5</v>
      </c>
    </row>
    <row r="5" spans="1:11" ht="15" customHeight="1" x14ac:dyDescent="0.25">
      <c r="A5" s="320"/>
      <c r="B5" s="69"/>
      <c r="C5" s="66"/>
      <c r="D5" s="67"/>
      <c r="E5" s="66"/>
      <c r="F5" s="68"/>
      <c r="G5" s="66"/>
      <c r="H5" s="68"/>
      <c r="I5" s="66"/>
      <c r="J5" s="68"/>
      <c r="K5" s="68"/>
    </row>
    <row r="6" spans="1:11" ht="15" customHeight="1" x14ac:dyDescent="0.25">
      <c r="A6" s="320"/>
      <c r="B6" s="68" t="s">
        <v>420</v>
      </c>
      <c r="C6" s="68" t="s">
        <v>421</v>
      </c>
      <c r="D6" s="68" t="s">
        <v>210</v>
      </c>
      <c r="E6" s="68" t="s">
        <v>510</v>
      </c>
      <c r="F6" s="68" t="s">
        <v>511</v>
      </c>
      <c r="G6" s="48" t="s">
        <v>512</v>
      </c>
      <c r="H6" s="48" t="s">
        <v>498</v>
      </c>
      <c r="I6" s="48" t="s">
        <v>422</v>
      </c>
      <c r="J6" s="71" t="s">
        <v>92</v>
      </c>
      <c r="K6" s="71" t="s">
        <v>94</v>
      </c>
    </row>
    <row r="7" spans="1:11" ht="15" customHeight="1" x14ac:dyDescent="0.25">
      <c r="A7" s="320"/>
      <c r="B7" s="68" t="s">
        <v>205</v>
      </c>
      <c r="C7" s="68" t="s">
        <v>204</v>
      </c>
      <c r="D7" s="68" t="s">
        <v>206</v>
      </c>
      <c r="E7" s="68" t="s">
        <v>212</v>
      </c>
      <c r="F7" s="68" t="s">
        <v>212</v>
      </c>
      <c r="G7" s="48" t="s">
        <v>208</v>
      </c>
      <c r="H7" s="48" t="s">
        <v>208</v>
      </c>
      <c r="I7" s="48" t="s">
        <v>208</v>
      </c>
      <c r="J7" s="71" t="s">
        <v>208</v>
      </c>
      <c r="K7" s="71" t="s">
        <v>61</v>
      </c>
    </row>
    <row r="8" spans="1:11" ht="15" customHeight="1" x14ac:dyDescent="0.25">
      <c r="A8" s="320"/>
      <c r="B8" s="68">
        <f>+IHERA_Eq!F246</f>
        <v>7500</v>
      </c>
      <c r="C8" s="68">
        <v>0</v>
      </c>
      <c r="D8" s="68">
        <f>+IHERA_Eq!H246</f>
        <v>10</v>
      </c>
      <c r="E8" s="66">
        <f>+IHERA_Eq!L1</f>
        <v>3</v>
      </c>
      <c r="F8" s="66">
        <v>0</v>
      </c>
      <c r="G8" s="66">
        <f>(B8)/(K4*D8)</f>
        <v>60</v>
      </c>
      <c r="H8" s="66">
        <f>((B8)/(2*K4))*(E8/100)</f>
        <v>9</v>
      </c>
      <c r="I8" s="66">
        <f>((B8)/(2*K4)*(F8/100))</f>
        <v>0</v>
      </c>
      <c r="J8" s="66">
        <f t="shared" ref="J8" si="4">G8+H8+I8</f>
        <v>69</v>
      </c>
      <c r="K8" s="66">
        <f>+J8*H4</f>
        <v>862.5</v>
      </c>
    </row>
    <row r="9" spans="1:11" ht="15" customHeight="1" x14ac:dyDescent="0.25">
      <c r="A9" s="320"/>
      <c r="B9" s="69"/>
      <c r="C9" s="66"/>
      <c r="D9" s="67"/>
      <c r="E9" s="66"/>
      <c r="F9" s="68"/>
      <c r="G9" s="66"/>
      <c r="H9" s="68"/>
      <c r="I9" s="66"/>
      <c r="J9" s="68"/>
      <c r="K9" s="68"/>
    </row>
    <row r="10" spans="1:11" ht="15" customHeight="1" x14ac:dyDescent="0.25">
      <c r="A10" s="320"/>
      <c r="B10" s="69" t="s">
        <v>582</v>
      </c>
      <c r="C10" s="68" t="s">
        <v>513</v>
      </c>
      <c r="D10" s="68" t="s">
        <v>423</v>
      </c>
      <c r="E10" s="68" t="s">
        <v>514</v>
      </c>
      <c r="F10" s="48" t="s">
        <v>583</v>
      </c>
      <c r="G10" s="68" t="s">
        <v>516</v>
      </c>
      <c r="H10" s="68" t="s">
        <v>517</v>
      </c>
      <c r="I10" s="48" t="s">
        <v>518</v>
      </c>
      <c r="J10" s="70"/>
      <c r="K10" s="70"/>
    </row>
    <row r="11" spans="1:11" ht="15" customHeight="1" x14ac:dyDescent="0.25">
      <c r="A11" s="320"/>
      <c r="B11" s="69" t="s">
        <v>204</v>
      </c>
      <c r="C11" s="68" t="s">
        <v>39</v>
      </c>
      <c r="D11" s="68" t="s">
        <v>424</v>
      </c>
      <c r="E11" s="68" t="s">
        <v>213</v>
      </c>
      <c r="F11" s="48" t="s">
        <v>208</v>
      </c>
      <c r="G11" s="68" t="s">
        <v>214</v>
      </c>
      <c r="H11" s="68" t="s">
        <v>213</v>
      </c>
      <c r="I11" s="48" t="s">
        <v>208</v>
      </c>
      <c r="J11" s="70"/>
      <c r="K11" s="70"/>
    </row>
    <row r="12" spans="1:11" ht="15" customHeight="1" x14ac:dyDescent="0.25">
      <c r="A12" s="320"/>
      <c r="B12" s="63">
        <v>0</v>
      </c>
      <c r="C12" s="66">
        <v>0</v>
      </c>
      <c r="D12" s="66">
        <f>+B12*C12</f>
        <v>0</v>
      </c>
      <c r="E12" s="66">
        <v>0</v>
      </c>
      <c r="F12" s="66">
        <f>+D12*E12</f>
        <v>0</v>
      </c>
      <c r="G12" s="72">
        <v>0</v>
      </c>
      <c r="H12" s="66">
        <v>0</v>
      </c>
      <c r="I12" s="66">
        <f>C8*G12*H12</f>
        <v>0</v>
      </c>
      <c r="J12" s="70"/>
      <c r="K12" s="70"/>
    </row>
    <row r="13" spans="1:11" ht="15" customHeight="1" x14ac:dyDescent="0.25">
      <c r="A13" s="320"/>
      <c r="B13" s="69"/>
      <c r="C13" s="66"/>
      <c r="D13" s="67"/>
      <c r="E13" s="66"/>
      <c r="F13" s="68"/>
      <c r="G13" s="66"/>
      <c r="H13" s="68"/>
      <c r="I13" s="66"/>
      <c r="J13" s="68"/>
      <c r="K13" s="68"/>
    </row>
    <row r="14" spans="1:11" ht="15" customHeight="1" x14ac:dyDescent="0.25">
      <c r="A14" s="320"/>
      <c r="B14" s="68" t="s">
        <v>519</v>
      </c>
      <c r="C14" s="68" t="s">
        <v>520</v>
      </c>
      <c r="D14" s="48" t="s">
        <v>521</v>
      </c>
      <c r="E14" s="68" t="s">
        <v>584</v>
      </c>
      <c r="F14" s="48" t="s">
        <v>584</v>
      </c>
      <c r="G14" s="68" t="s">
        <v>585</v>
      </c>
      <c r="H14" s="68" t="s">
        <v>586</v>
      </c>
      <c r="I14" s="48" t="s">
        <v>524</v>
      </c>
      <c r="J14" s="71" t="s">
        <v>96</v>
      </c>
      <c r="K14" s="71" t="s">
        <v>98</v>
      </c>
    </row>
    <row r="15" spans="1:11" ht="15" customHeight="1" x14ac:dyDescent="0.25">
      <c r="A15" s="320"/>
      <c r="B15" s="68" t="s">
        <v>205</v>
      </c>
      <c r="C15" s="68" t="s">
        <v>215</v>
      </c>
      <c r="D15" s="48" t="s">
        <v>208</v>
      </c>
      <c r="E15" s="68" t="s">
        <v>212</v>
      </c>
      <c r="F15" s="48" t="s">
        <v>208</v>
      </c>
      <c r="G15" s="68" t="s">
        <v>208</v>
      </c>
      <c r="H15" s="68" t="s">
        <v>587</v>
      </c>
      <c r="I15" s="48" t="s">
        <v>208</v>
      </c>
      <c r="J15" s="71" t="s">
        <v>208</v>
      </c>
      <c r="K15" s="71" t="s">
        <v>61</v>
      </c>
    </row>
    <row r="16" spans="1:11" ht="15" customHeight="1" x14ac:dyDescent="0.25">
      <c r="A16" s="320"/>
      <c r="B16" s="68">
        <v>0</v>
      </c>
      <c r="C16" s="68">
        <v>0.1</v>
      </c>
      <c r="D16" s="66">
        <f>+B16/C16</f>
        <v>0</v>
      </c>
      <c r="E16" s="66">
        <f>+IHERA_Eq!J246</f>
        <v>0.04</v>
      </c>
      <c r="F16" s="66">
        <f>B8*(E16/100)</f>
        <v>3</v>
      </c>
      <c r="G16" s="68">
        <v>0</v>
      </c>
      <c r="H16" s="68">
        <v>0</v>
      </c>
      <c r="I16" s="68">
        <f>+G16*H16</f>
        <v>0</v>
      </c>
      <c r="J16" s="66">
        <f>F12+I12+D16+F16+I16</f>
        <v>3</v>
      </c>
      <c r="K16" s="66">
        <f>+J16*H4</f>
        <v>37.5</v>
      </c>
    </row>
    <row r="17" spans="1:11" ht="15" customHeight="1" x14ac:dyDescent="0.25">
      <c r="A17" s="63"/>
      <c r="B17" s="69"/>
      <c r="C17" s="66"/>
      <c r="D17" s="67"/>
      <c r="E17" s="66"/>
      <c r="F17" s="68"/>
      <c r="G17" s="66"/>
      <c r="H17" s="68"/>
      <c r="I17" s="66"/>
      <c r="J17" s="68"/>
      <c r="K17" s="68"/>
    </row>
    <row r="18" spans="1:11" ht="15" customHeight="1" x14ac:dyDescent="0.25">
      <c r="A18" s="63"/>
      <c r="B18" s="69"/>
      <c r="C18" s="66"/>
      <c r="D18" s="341" t="s">
        <v>607</v>
      </c>
      <c r="E18" s="342"/>
      <c r="F18" s="78"/>
      <c r="G18" s="339" t="s">
        <v>1045</v>
      </c>
      <c r="H18" s="339"/>
      <c r="I18" s="302">
        <f>+Trator35!A28</f>
        <v>250</v>
      </c>
      <c r="J18" s="332" t="s">
        <v>608</v>
      </c>
      <c r="K18" s="334"/>
    </row>
    <row r="19" spans="1:11" ht="15" customHeight="1" x14ac:dyDescent="0.25">
      <c r="A19" s="68" t="s">
        <v>28</v>
      </c>
      <c r="B19" s="68" t="s">
        <v>588</v>
      </c>
      <c r="C19" s="73" t="s">
        <v>619</v>
      </c>
      <c r="D19" s="73" t="s">
        <v>620</v>
      </c>
      <c r="E19" s="73" t="s">
        <v>621</v>
      </c>
      <c r="F19" s="68" t="s">
        <v>622</v>
      </c>
      <c r="G19" s="46" t="s">
        <v>92</v>
      </c>
      <c r="H19" s="46" t="s">
        <v>96</v>
      </c>
      <c r="I19" s="85" t="s">
        <v>216</v>
      </c>
      <c r="J19" s="74" t="s">
        <v>589</v>
      </c>
      <c r="K19" s="74" t="s">
        <v>623</v>
      </c>
    </row>
    <row r="20" spans="1:11" ht="15" customHeight="1" x14ac:dyDescent="0.25">
      <c r="A20" s="68" t="s">
        <v>591</v>
      </c>
      <c r="B20" s="68" t="s">
        <v>207</v>
      </c>
      <c r="C20" s="68" t="s">
        <v>205</v>
      </c>
      <c r="D20" s="68" t="s">
        <v>205</v>
      </c>
      <c r="E20" s="68" t="s">
        <v>205</v>
      </c>
      <c r="F20" s="68" t="s">
        <v>205</v>
      </c>
      <c r="G20" s="46" t="s">
        <v>208</v>
      </c>
      <c r="H20" s="46" t="s">
        <v>208</v>
      </c>
      <c r="I20" s="85" t="s">
        <v>208</v>
      </c>
      <c r="J20" s="74" t="s">
        <v>205</v>
      </c>
      <c r="K20" s="74" t="s">
        <v>205</v>
      </c>
    </row>
    <row r="21" spans="1:11" ht="15" customHeight="1" x14ac:dyDescent="0.25">
      <c r="A21" s="68">
        <v>1</v>
      </c>
      <c r="B21" s="68">
        <f>+K4</f>
        <v>12.5</v>
      </c>
      <c r="C21" s="66">
        <f>($B$8*0.9)/(B21*$D$8)+(($B$8*1.1)/(2*B21))*($E$8/100)+(($B$8*1.1)/(2*B21)*($F$8/100))</f>
        <v>63.9</v>
      </c>
      <c r="D21" s="66">
        <f>$D$12*$E$12+$C$8*$G$12*$H$12+$B$16/$C$16+$B$8*($E$16/100)+$G$16*$H$16</f>
        <v>3</v>
      </c>
      <c r="E21" s="75">
        <f>+C21+D21</f>
        <v>66.900000000000006</v>
      </c>
      <c r="F21" s="75">
        <f>+A21*E21</f>
        <v>66.900000000000006</v>
      </c>
      <c r="G21" s="75">
        <f>+Trator35!B28</f>
        <v>9.2543000000000006</v>
      </c>
      <c r="H21" s="75">
        <f>+Trator35!C28</f>
        <v>13.951033333333333</v>
      </c>
      <c r="I21" s="77">
        <f>+G21+H21</f>
        <v>23.205333333333336</v>
      </c>
      <c r="J21" s="77">
        <f>+E21+$I$21</f>
        <v>90.105333333333334</v>
      </c>
      <c r="K21" s="77">
        <f>+B21*J21</f>
        <v>1126.3166666666666</v>
      </c>
    </row>
    <row r="22" spans="1:11" ht="15" customHeight="1" x14ac:dyDescent="0.25">
      <c r="A22" s="68">
        <f>+A21+2</f>
        <v>3</v>
      </c>
      <c r="B22" s="68">
        <f>+A22*$K$4</f>
        <v>37.5</v>
      </c>
      <c r="C22" s="66">
        <f t="shared" ref="C22:C30" si="5">($B$8*0.9)/(B22*$D$8)+(($B$8*1.1)/(2*B22))*($E$8/100)+(($B$8*1.1)/(2*B22)*($F$8/100))</f>
        <v>21.3</v>
      </c>
      <c r="D22" s="66">
        <f t="shared" ref="D22:D30" si="6">$D$12*$E$12+$C$8*$G$12*$H$12+$B$16/$C$16+$B$8*($E$16/100)+$G$16*$H$16</f>
        <v>3</v>
      </c>
      <c r="E22" s="75">
        <f t="shared" ref="E22:E30" si="7">+C22+D22</f>
        <v>24.3</v>
      </c>
      <c r="F22" s="75">
        <f t="shared" ref="F22:F30" si="8">+A22*E22</f>
        <v>72.900000000000006</v>
      </c>
      <c r="G22" s="75"/>
      <c r="H22" s="75"/>
      <c r="I22" s="76"/>
      <c r="J22" s="77">
        <f t="shared" ref="J22:J30" si="9">+E22+$I$21</f>
        <v>47.50533333333334</v>
      </c>
      <c r="K22" s="77">
        <f t="shared" ref="K22:K30" si="10">+B22*J22</f>
        <v>1781.4500000000003</v>
      </c>
    </row>
    <row r="23" spans="1:11" ht="15" customHeight="1" x14ac:dyDescent="0.25">
      <c r="A23" s="68">
        <f t="shared" ref="A23:A29" si="11">+A22+2</f>
        <v>5</v>
      </c>
      <c r="B23" s="68">
        <f t="shared" ref="B23:B30" si="12">+A23*$K$4</f>
        <v>62.5</v>
      </c>
      <c r="C23" s="66">
        <f t="shared" si="5"/>
        <v>12.780000000000001</v>
      </c>
      <c r="D23" s="66">
        <f t="shared" si="6"/>
        <v>3</v>
      </c>
      <c r="E23" s="75">
        <f t="shared" si="7"/>
        <v>15.780000000000001</v>
      </c>
      <c r="F23" s="75">
        <f t="shared" si="8"/>
        <v>78.900000000000006</v>
      </c>
      <c r="G23" s="75"/>
      <c r="H23" s="75"/>
      <c r="I23" s="76"/>
      <c r="J23" s="77">
        <f t="shared" si="9"/>
        <v>38.985333333333337</v>
      </c>
      <c r="K23" s="77">
        <f t="shared" si="10"/>
        <v>2436.5833333333335</v>
      </c>
    </row>
    <row r="24" spans="1:11" ht="15" customHeight="1" x14ac:dyDescent="0.25">
      <c r="A24" s="68">
        <f t="shared" si="11"/>
        <v>7</v>
      </c>
      <c r="B24" s="68">
        <f t="shared" si="12"/>
        <v>87.5</v>
      </c>
      <c r="C24" s="66">
        <f t="shared" si="5"/>
        <v>9.1285714285714281</v>
      </c>
      <c r="D24" s="66">
        <f t="shared" si="6"/>
        <v>3</v>
      </c>
      <c r="E24" s="75">
        <f t="shared" si="7"/>
        <v>12.128571428571428</v>
      </c>
      <c r="F24" s="75">
        <f t="shared" si="8"/>
        <v>84.899999999999991</v>
      </c>
      <c r="G24" s="75"/>
      <c r="H24" s="75"/>
      <c r="I24" s="76"/>
      <c r="J24" s="77">
        <f t="shared" si="9"/>
        <v>35.333904761904762</v>
      </c>
      <c r="K24" s="77">
        <f t="shared" si="10"/>
        <v>3091.7166666666667</v>
      </c>
    </row>
    <row r="25" spans="1:11" ht="15" customHeight="1" x14ac:dyDescent="0.25">
      <c r="A25" s="68">
        <f t="shared" si="11"/>
        <v>9</v>
      </c>
      <c r="B25" s="68">
        <f t="shared" si="12"/>
        <v>112.5</v>
      </c>
      <c r="C25" s="66">
        <f t="shared" si="5"/>
        <v>7.1</v>
      </c>
      <c r="D25" s="66">
        <f t="shared" si="6"/>
        <v>3</v>
      </c>
      <c r="E25" s="75">
        <f t="shared" si="7"/>
        <v>10.1</v>
      </c>
      <c r="F25" s="75">
        <f t="shared" si="8"/>
        <v>90.899999999999991</v>
      </c>
      <c r="G25" s="75"/>
      <c r="H25" s="75"/>
      <c r="I25" s="76"/>
      <c r="J25" s="77">
        <f t="shared" si="9"/>
        <v>33.305333333333337</v>
      </c>
      <c r="K25" s="77">
        <f t="shared" si="10"/>
        <v>3746.8500000000004</v>
      </c>
    </row>
    <row r="26" spans="1:11" ht="15" customHeight="1" x14ac:dyDescent="0.25">
      <c r="A26" s="68">
        <f t="shared" si="11"/>
        <v>11</v>
      </c>
      <c r="B26" s="68">
        <f t="shared" si="12"/>
        <v>137.5</v>
      </c>
      <c r="C26" s="66">
        <f t="shared" si="5"/>
        <v>5.8090909090909086</v>
      </c>
      <c r="D26" s="66">
        <f t="shared" si="6"/>
        <v>3</v>
      </c>
      <c r="E26" s="75">
        <f t="shared" si="7"/>
        <v>8.8090909090909086</v>
      </c>
      <c r="F26" s="75">
        <f t="shared" si="8"/>
        <v>96.899999999999991</v>
      </c>
      <c r="G26" s="75"/>
      <c r="H26" s="75"/>
      <c r="I26" s="76"/>
      <c r="J26" s="77">
        <f t="shared" si="9"/>
        <v>32.014424242424241</v>
      </c>
      <c r="K26" s="77">
        <f t="shared" si="10"/>
        <v>4401.9833333333327</v>
      </c>
    </row>
    <row r="27" spans="1:11" ht="15" customHeight="1" x14ac:dyDescent="0.25">
      <c r="A27" s="68">
        <f t="shared" si="11"/>
        <v>13</v>
      </c>
      <c r="B27" s="68">
        <f t="shared" si="12"/>
        <v>162.5</v>
      </c>
      <c r="C27" s="66">
        <f t="shared" si="5"/>
        <v>4.9153846153846157</v>
      </c>
      <c r="D27" s="66">
        <f t="shared" si="6"/>
        <v>3</v>
      </c>
      <c r="E27" s="75">
        <f t="shared" si="7"/>
        <v>7.9153846153846157</v>
      </c>
      <c r="F27" s="75">
        <f t="shared" si="8"/>
        <v>102.9</v>
      </c>
      <c r="G27" s="75"/>
      <c r="H27" s="75"/>
      <c r="I27" s="76"/>
      <c r="J27" s="77">
        <f t="shared" si="9"/>
        <v>31.120717948717953</v>
      </c>
      <c r="K27" s="77">
        <f t="shared" si="10"/>
        <v>5057.1166666666677</v>
      </c>
    </row>
    <row r="28" spans="1:11" ht="15" customHeight="1" x14ac:dyDescent="0.25">
      <c r="A28" s="68">
        <f t="shared" si="11"/>
        <v>15</v>
      </c>
      <c r="B28" s="68">
        <f t="shared" si="12"/>
        <v>187.5</v>
      </c>
      <c r="C28" s="66">
        <f t="shared" si="5"/>
        <v>4.26</v>
      </c>
      <c r="D28" s="66">
        <f t="shared" si="6"/>
        <v>3</v>
      </c>
      <c r="E28" s="75">
        <f t="shared" si="7"/>
        <v>7.26</v>
      </c>
      <c r="F28" s="75">
        <f t="shared" si="8"/>
        <v>108.89999999999999</v>
      </c>
      <c r="G28" s="75"/>
      <c r="H28" s="75"/>
      <c r="I28" s="76"/>
      <c r="J28" s="77">
        <f t="shared" si="9"/>
        <v>30.465333333333334</v>
      </c>
      <c r="K28" s="77">
        <f t="shared" si="10"/>
        <v>5712.25</v>
      </c>
    </row>
    <row r="29" spans="1:11" ht="15" customHeight="1" x14ac:dyDescent="0.25">
      <c r="A29" s="68">
        <f t="shared" si="11"/>
        <v>17</v>
      </c>
      <c r="B29" s="68">
        <f t="shared" si="12"/>
        <v>212.5</v>
      </c>
      <c r="C29" s="66">
        <f t="shared" si="5"/>
        <v>3.7588235294117647</v>
      </c>
      <c r="D29" s="66">
        <f t="shared" si="6"/>
        <v>3</v>
      </c>
      <c r="E29" s="75">
        <f t="shared" si="7"/>
        <v>6.7588235294117647</v>
      </c>
      <c r="F29" s="75">
        <f t="shared" si="8"/>
        <v>114.9</v>
      </c>
      <c r="G29" s="75"/>
      <c r="H29" s="75"/>
      <c r="I29" s="76"/>
      <c r="J29" s="77">
        <f t="shared" si="9"/>
        <v>29.964156862745099</v>
      </c>
      <c r="K29" s="77">
        <f t="shared" si="10"/>
        <v>6367.3833333333332</v>
      </c>
    </row>
    <row r="30" spans="1:11" ht="15" customHeight="1" x14ac:dyDescent="0.25">
      <c r="A30" s="68">
        <f>+A29+3</f>
        <v>20</v>
      </c>
      <c r="B30" s="68">
        <f t="shared" si="12"/>
        <v>250</v>
      </c>
      <c r="C30" s="66">
        <f t="shared" si="5"/>
        <v>3.1950000000000003</v>
      </c>
      <c r="D30" s="66">
        <f t="shared" si="6"/>
        <v>3</v>
      </c>
      <c r="E30" s="75">
        <f t="shared" si="7"/>
        <v>6.1950000000000003</v>
      </c>
      <c r="F30" s="75">
        <f t="shared" si="8"/>
        <v>123.9</v>
      </c>
      <c r="G30" s="75"/>
      <c r="H30" s="75"/>
      <c r="I30" s="76"/>
      <c r="J30" s="77">
        <f t="shared" si="9"/>
        <v>29.400333333333336</v>
      </c>
      <c r="K30" s="77">
        <f t="shared" si="10"/>
        <v>7350.0833333333339</v>
      </c>
    </row>
    <row r="31" spans="1:11" s="80" customFormat="1" ht="15" customHeight="1" x14ac:dyDescent="0.25">
      <c r="A31" s="325" t="s">
        <v>614</v>
      </c>
      <c r="B31" s="326"/>
      <c r="C31" s="326"/>
      <c r="D31" s="326"/>
      <c r="E31" s="326"/>
      <c r="F31" s="326"/>
      <c r="G31" s="326"/>
      <c r="H31" s="326"/>
      <c r="I31" s="326"/>
      <c r="J31" s="326"/>
      <c r="K31" s="326"/>
    </row>
    <row r="32" spans="1:11" s="80" customFormat="1" ht="15" customHeight="1" x14ac:dyDescent="0.25">
      <c r="A32" s="97">
        <f>+Dados!B5</f>
        <v>9</v>
      </c>
      <c r="B32" s="98">
        <f t="shared" ref="B32" si="13">+A32*$K$4</f>
        <v>112.5</v>
      </c>
      <c r="C32" s="51">
        <f>($B$8*0.9)/(B32*$D$8)+(($B$8*1.1)/(2*B32))*($E$8/100)+(($B$8*1.1)/(2*B32)*($F$8/100))</f>
        <v>7.1</v>
      </c>
      <c r="D32" s="51">
        <f>$D$12*$E$12+$C$8*$G$12*$H$12+$B$16/$C$16+$B$8*($E$16/100)+$G$16*$H$16</f>
        <v>3</v>
      </c>
      <c r="E32" s="53">
        <f>+C32+D32</f>
        <v>10.1</v>
      </c>
      <c r="F32" s="53">
        <f>+A32*E32</f>
        <v>90.899999999999991</v>
      </c>
      <c r="G32" s="53"/>
      <c r="H32" s="53"/>
      <c r="I32" s="99"/>
      <c r="J32" s="100">
        <f>+E32+$I$21</f>
        <v>33.305333333333337</v>
      </c>
      <c r="K32" s="100">
        <f>+B32*J32</f>
        <v>3746.8500000000004</v>
      </c>
    </row>
    <row r="33" spans="1:11" x14ac:dyDescent="0.25">
      <c r="A33" s="3"/>
      <c r="B33" s="3"/>
      <c r="C33" s="3"/>
      <c r="D33" s="3"/>
      <c r="E33" s="3"/>
      <c r="F33" s="18"/>
      <c r="G33" s="3"/>
      <c r="H33" s="18"/>
      <c r="I33" s="18"/>
      <c r="J33" s="18"/>
      <c r="K33" s="18"/>
    </row>
    <row r="34" spans="1:11" x14ac:dyDescent="0.25">
      <c r="A34" s="3"/>
      <c r="B34" s="3"/>
      <c r="C34" s="3"/>
      <c r="D34" s="3"/>
      <c r="E34" s="3"/>
      <c r="F34" s="18"/>
      <c r="G34" s="3"/>
      <c r="H34" s="18"/>
      <c r="I34" s="18"/>
      <c r="J34" s="18"/>
      <c r="K34" s="18"/>
    </row>
    <row r="35" spans="1:11" x14ac:dyDescent="0.25">
      <c r="A35" s="3"/>
      <c r="B35" s="3"/>
      <c r="C35" s="3"/>
      <c r="D35" s="3"/>
      <c r="E35" s="3"/>
      <c r="F35" s="18"/>
      <c r="G35" s="3"/>
      <c r="H35" s="18"/>
      <c r="I35" s="18"/>
      <c r="J35" s="18"/>
      <c r="K35" s="18"/>
    </row>
    <row r="36" spans="1:11" x14ac:dyDescent="0.25">
      <c r="A36" s="3"/>
      <c r="B36" s="3"/>
      <c r="C36" s="3"/>
      <c r="D36" s="3"/>
      <c r="E36" s="3"/>
      <c r="F36" s="18"/>
      <c r="G36" s="3"/>
      <c r="H36" s="18"/>
      <c r="I36" s="18"/>
      <c r="J36" s="18"/>
      <c r="K36" s="18"/>
    </row>
    <row r="37" spans="1:11" x14ac:dyDescent="0.25">
      <c r="A37" s="3"/>
      <c r="B37" s="3"/>
      <c r="C37" s="3"/>
      <c r="D37" s="3"/>
      <c r="E37" s="3"/>
      <c r="F37" s="18"/>
      <c r="G37" s="3"/>
      <c r="H37" s="18"/>
      <c r="I37" s="18"/>
      <c r="J37" s="18"/>
      <c r="K37" s="18"/>
    </row>
    <row r="38" spans="1:11" x14ac:dyDescent="0.25">
      <c r="A38" s="18"/>
      <c r="B38" s="4"/>
      <c r="C38" s="18"/>
      <c r="D38" s="18"/>
      <c r="E38" s="18"/>
      <c r="F38" s="18"/>
      <c r="G38" s="18"/>
      <c r="H38" s="18"/>
      <c r="I38" s="18"/>
      <c r="J38" s="18"/>
      <c r="K38" s="18"/>
    </row>
    <row r="39" spans="1:11" x14ac:dyDescent="0.25">
      <c r="A39" s="18"/>
      <c r="B39" s="5"/>
      <c r="C39" s="18"/>
      <c r="D39" s="5"/>
      <c r="E39" s="18"/>
      <c r="F39" s="18"/>
      <c r="G39" s="18"/>
      <c r="H39" s="18"/>
      <c r="I39" s="18"/>
      <c r="J39" s="18"/>
      <c r="K39" s="18"/>
    </row>
    <row r="40" spans="1:11" x14ac:dyDescent="0.25">
      <c r="A40" s="18"/>
      <c r="B40" s="4"/>
      <c r="C40" s="18"/>
      <c r="D40" s="18"/>
      <c r="E40" s="18"/>
      <c r="F40" s="18"/>
      <c r="G40" s="18"/>
      <c r="H40" s="18"/>
      <c r="I40" s="18"/>
      <c r="J40" s="18"/>
      <c r="K40" s="18"/>
    </row>
    <row r="41" spans="1:11" x14ac:dyDescent="0.25">
      <c r="A41" s="18"/>
      <c r="B41" s="4"/>
      <c r="C41" s="18"/>
      <c r="D41" s="18"/>
      <c r="E41" s="18"/>
      <c r="F41" s="18"/>
      <c r="G41" s="18"/>
      <c r="H41" s="18"/>
      <c r="I41" s="18"/>
      <c r="J41" s="18"/>
      <c r="K41" s="18"/>
    </row>
    <row r="42" spans="1:11" x14ac:dyDescent="0.25">
      <c r="A42" s="18"/>
      <c r="B42" s="4"/>
      <c r="C42" s="18"/>
      <c r="D42" s="18"/>
      <c r="E42" s="18"/>
      <c r="F42" s="18"/>
      <c r="G42" s="18"/>
      <c r="H42" s="18"/>
      <c r="I42" s="18"/>
      <c r="J42" s="18"/>
      <c r="K42" s="18"/>
    </row>
    <row r="43" spans="1:11" x14ac:dyDescent="0.25">
      <c r="A43" s="18"/>
      <c r="B43" s="4"/>
      <c r="C43" s="18"/>
      <c r="D43" s="18"/>
      <c r="E43" s="18"/>
      <c r="F43" s="18"/>
      <c r="G43" s="18"/>
      <c r="H43" s="18"/>
      <c r="I43" s="18"/>
      <c r="J43" s="18"/>
      <c r="K43" s="18"/>
    </row>
    <row r="44" spans="1:11" x14ac:dyDescent="0.25">
      <c r="A44" s="18"/>
      <c r="B44" s="4"/>
      <c r="C44" s="18"/>
      <c r="D44" s="18"/>
      <c r="E44" s="18"/>
      <c r="F44" s="18"/>
      <c r="G44" s="18"/>
      <c r="H44" s="18"/>
      <c r="I44" s="18"/>
      <c r="J44" s="18"/>
      <c r="K44" s="18"/>
    </row>
    <row r="45" spans="1:11" x14ac:dyDescent="0.25">
      <c r="A45" s="18"/>
      <c r="B45" s="4"/>
      <c r="C45" s="18"/>
      <c r="D45" s="18"/>
      <c r="E45" s="18"/>
      <c r="F45" s="18"/>
      <c r="G45" s="18"/>
      <c r="H45" s="18"/>
      <c r="I45" s="18"/>
      <c r="J45" s="18"/>
      <c r="K45" s="18"/>
    </row>
    <row r="46" spans="1:11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</row>
    <row r="48" spans="1:11" x14ac:dyDescent="0.25">
      <c r="A48" s="18"/>
      <c r="B48" s="4"/>
      <c r="C48" s="18"/>
      <c r="D48" s="18"/>
      <c r="E48" s="18"/>
      <c r="F48" s="18"/>
      <c r="G48" s="18"/>
      <c r="H48" s="18"/>
      <c r="I48" s="18"/>
      <c r="J48" s="18"/>
      <c r="K48" s="18"/>
    </row>
    <row r="49" spans="1:11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</row>
    <row r="50" spans="1:11" x14ac:dyDescent="0.25">
      <c r="A50" s="18"/>
      <c r="B50" s="4"/>
      <c r="C50" s="18"/>
      <c r="D50" s="18"/>
      <c r="E50" s="18"/>
      <c r="F50" s="18"/>
      <c r="G50" s="18"/>
      <c r="H50" s="18"/>
      <c r="I50" s="18"/>
      <c r="J50" s="18"/>
      <c r="K50" s="18"/>
    </row>
    <row r="51" spans="1:11" x14ac:dyDescent="0.25">
      <c r="A51" s="18"/>
      <c r="B51" s="4"/>
      <c r="C51" s="4"/>
      <c r="D51" s="4"/>
      <c r="E51" s="4"/>
      <c r="F51" s="4"/>
      <c r="G51" s="18"/>
      <c r="H51" s="4"/>
      <c r="I51" s="18"/>
      <c r="J51" s="4"/>
      <c r="K51" s="18"/>
    </row>
    <row r="52" spans="1:11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</row>
    <row r="53" spans="1:11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</row>
    <row r="54" spans="1:11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</row>
    <row r="55" spans="1:11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</row>
    <row r="56" spans="1:11" x14ac:dyDescent="0.2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</row>
  </sheetData>
  <mergeCells count="6">
    <mergeCell ref="A31:K31"/>
    <mergeCell ref="B1:K1"/>
    <mergeCell ref="A4:A16"/>
    <mergeCell ref="D18:E18"/>
    <mergeCell ref="G18:H18"/>
    <mergeCell ref="J18:K18"/>
  </mergeCells>
  <hyperlinks>
    <hyperlink ref="A1" location="Indice!A1" display="Índice"/>
  </hyperlinks>
  <printOptions horizontalCentered="1" verticalCentered="1" gridLines="1"/>
  <pageMargins left="7.874015748031496E-2" right="7.874015748031496E-2" top="7.874015748031496E-2" bottom="7.874015748031496E-2" header="0.31496062992125984" footer="0.31496062992125984"/>
  <pageSetup fitToWidth="0" fitToHeight="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SheetLayoutView="100" workbookViewId="0">
      <pane ySplit="1" topLeftCell="A2" activePane="bottomLeft" state="frozen"/>
      <selection pane="bottomLeft" activeCell="I9" sqref="I9"/>
    </sheetView>
  </sheetViews>
  <sheetFormatPr defaultColWidth="8" defaultRowHeight="13.2" x14ac:dyDescent="0.25"/>
  <cols>
    <col min="1" max="1" width="12.33203125" customWidth="1"/>
    <col min="2" max="9" width="8.6640625" customWidth="1"/>
    <col min="10" max="10" width="10.88671875" customWidth="1"/>
    <col min="11" max="11" width="8.6640625" customWidth="1"/>
    <col min="12" max="12" width="2.88671875" customWidth="1"/>
    <col min="13" max="13" width="5.44140625" customWidth="1"/>
  </cols>
  <sheetData>
    <row r="1" spans="1:13" ht="15" customHeight="1" x14ac:dyDescent="0.3">
      <c r="A1" s="297" t="s">
        <v>869</v>
      </c>
      <c r="B1" s="327" t="s">
        <v>609</v>
      </c>
      <c r="C1" s="328"/>
      <c r="D1" s="328"/>
      <c r="E1" s="328"/>
      <c r="F1" s="328"/>
      <c r="G1" s="328"/>
      <c r="H1" s="328"/>
      <c r="I1" s="328"/>
      <c r="J1" s="328"/>
      <c r="K1" s="328"/>
    </row>
    <row r="2" spans="1:13" ht="15" customHeight="1" x14ac:dyDescent="0.25">
      <c r="A2" s="63"/>
      <c r="B2" s="64" t="s">
        <v>100</v>
      </c>
      <c r="C2" s="64" t="s">
        <v>149</v>
      </c>
      <c r="D2" s="64" t="s">
        <v>35</v>
      </c>
      <c r="E2" s="64" t="s">
        <v>89</v>
      </c>
      <c r="F2" s="64" t="s">
        <v>32</v>
      </c>
      <c r="G2" s="64" t="s">
        <v>577</v>
      </c>
      <c r="H2" s="64" t="s">
        <v>131</v>
      </c>
      <c r="I2" s="64" t="s">
        <v>578</v>
      </c>
      <c r="J2" s="64" t="s">
        <v>579</v>
      </c>
      <c r="K2" s="65" t="s">
        <v>580</v>
      </c>
      <c r="M2" s="3"/>
    </row>
    <row r="3" spans="1:13" ht="15" customHeight="1" x14ac:dyDescent="0.25">
      <c r="A3" s="63"/>
      <c r="B3" s="64" t="s">
        <v>416</v>
      </c>
      <c r="C3" s="64" t="s">
        <v>417</v>
      </c>
      <c r="D3" s="64" t="s">
        <v>418</v>
      </c>
      <c r="E3" s="64" t="s">
        <v>212</v>
      </c>
      <c r="F3" s="64" t="s">
        <v>418</v>
      </c>
      <c r="G3" s="64" t="s">
        <v>581</v>
      </c>
      <c r="H3" s="64" t="s">
        <v>431</v>
      </c>
      <c r="I3" s="64" t="s">
        <v>419</v>
      </c>
      <c r="J3" s="64" t="s">
        <v>207</v>
      </c>
      <c r="K3" s="64" t="s">
        <v>207</v>
      </c>
    </row>
    <row r="4" spans="1:13" ht="15" customHeight="1" x14ac:dyDescent="0.25">
      <c r="A4" s="329" t="s">
        <v>611</v>
      </c>
      <c r="B4" s="66">
        <f>+Dados!B6</f>
        <v>2</v>
      </c>
      <c r="C4" s="67">
        <f>+'Vel  EfC'!C57</f>
        <v>3</v>
      </c>
      <c r="D4" s="66">
        <f t="shared" ref="D4" si="0">(B4*C4)/10</f>
        <v>0.6</v>
      </c>
      <c r="E4" s="68">
        <f>+'Vel  EfC'!E57</f>
        <v>80</v>
      </c>
      <c r="F4" s="66">
        <f t="shared" ref="F4" si="1">(D4*E4)/100</f>
        <v>0.48</v>
      </c>
      <c r="G4" s="68">
        <v>2</v>
      </c>
      <c r="H4" s="66">
        <f t="shared" ref="H4" si="2">1/F4*G4</f>
        <v>4.166666666666667</v>
      </c>
      <c r="I4" s="66">
        <v>1</v>
      </c>
      <c r="J4" s="66">
        <f t="shared" ref="J4" si="3">+H4*I4</f>
        <v>4.166666666666667</v>
      </c>
      <c r="K4" s="68">
        <f>+J4</f>
        <v>4.166666666666667</v>
      </c>
      <c r="M4" s="3"/>
    </row>
    <row r="5" spans="1:13" ht="15" customHeight="1" x14ac:dyDescent="0.25">
      <c r="A5" s="320"/>
      <c r="B5" s="69"/>
      <c r="C5" s="66"/>
      <c r="D5" s="67"/>
      <c r="E5" s="66"/>
      <c r="F5" s="68"/>
      <c r="G5" s="66"/>
      <c r="H5" s="68"/>
      <c r="I5" s="66"/>
      <c r="J5" s="68"/>
      <c r="K5" s="68"/>
      <c r="M5" s="3"/>
    </row>
    <row r="6" spans="1:13" ht="15" customHeight="1" x14ac:dyDescent="0.25">
      <c r="A6" s="320"/>
      <c r="B6" s="68" t="s">
        <v>420</v>
      </c>
      <c r="C6" s="68" t="s">
        <v>421</v>
      </c>
      <c r="D6" s="68" t="s">
        <v>210</v>
      </c>
      <c r="E6" s="68" t="s">
        <v>510</v>
      </c>
      <c r="F6" s="68" t="s">
        <v>511</v>
      </c>
      <c r="G6" s="48" t="s">
        <v>512</v>
      </c>
      <c r="H6" s="48" t="s">
        <v>498</v>
      </c>
      <c r="I6" s="48" t="s">
        <v>422</v>
      </c>
      <c r="J6" s="71" t="s">
        <v>92</v>
      </c>
      <c r="K6" s="71" t="s">
        <v>94</v>
      </c>
      <c r="M6" s="3"/>
    </row>
    <row r="7" spans="1:13" ht="15" customHeight="1" x14ac:dyDescent="0.25">
      <c r="A7" s="320"/>
      <c r="B7" s="68" t="s">
        <v>205</v>
      </c>
      <c r="C7" s="68" t="s">
        <v>204</v>
      </c>
      <c r="D7" s="68" t="s">
        <v>206</v>
      </c>
      <c r="E7" s="68" t="s">
        <v>212</v>
      </c>
      <c r="F7" s="68" t="s">
        <v>212</v>
      </c>
      <c r="G7" s="48" t="s">
        <v>208</v>
      </c>
      <c r="H7" s="48" t="s">
        <v>208</v>
      </c>
      <c r="I7" s="48" t="s">
        <v>208</v>
      </c>
      <c r="J7" s="71" t="s">
        <v>208</v>
      </c>
      <c r="K7" s="71" t="s">
        <v>61</v>
      </c>
      <c r="M7" s="3"/>
    </row>
    <row r="8" spans="1:13" ht="15" customHeight="1" x14ac:dyDescent="0.25">
      <c r="A8" s="320"/>
      <c r="B8" s="68">
        <f>+IHERA_Eq!F241</f>
        <v>3000</v>
      </c>
      <c r="C8" s="68">
        <v>0</v>
      </c>
      <c r="D8" s="68">
        <f>+IHERA_Eq!H241</f>
        <v>10</v>
      </c>
      <c r="E8" s="66">
        <f>+IHERA_Eq!K241</f>
        <v>3</v>
      </c>
      <c r="F8" s="66">
        <v>0</v>
      </c>
      <c r="G8" s="66">
        <f>(B8)/(K4*D8)</f>
        <v>71.999999999999986</v>
      </c>
      <c r="H8" s="66">
        <f>((B8)/(2*K4))*(E8/100)</f>
        <v>10.799999999999999</v>
      </c>
      <c r="I8" s="66">
        <f>((B8)/(2*K4)*(F8/100))</f>
        <v>0</v>
      </c>
      <c r="J8" s="66">
        <f t="shared" ref="J8" si="4">G8+H8+I8</f>
        <v>82.799999999999983</v>
      </c>
      <c r="K8" s="66">
        <f>+J8*H4</f>
        <v>344.99999999999994</v>
      </c>
      <c r="M8" s="3"/>
    </row>
    <row r="9" spans="1:13" ht="15" customHeight="1" x14ac:dyDescent="0.25">
      <c r="A9" s="320"/>
      <c r="B9" s="69"/>
      <c r="C9" s="66"/>
      <c r="D9" s="67"/>
      <c r="E9" s="66"/>
      <c r="F9" s="68"/>
      <c r="G9" s="66"/>
      <c r="H9" s="68"/>
      <c r="I9" s="66"/>
      <c r="J9" s="68"/>
      <c r="K9" s="68"/>
    </row>
    <row r="10" spans="1:13" ht="15" customHeight="1" x14ac:dyDescent="0.25">
      <c r="A10" s="320"/>
      <c r="B10" s="69" t="s">
        <v>582</v>
      </c>
      <c r="C10" s="68" t="s">
        <v>513</v>
      </c>
      <c r="D10" s="68" t="s">
        <v>423</v>
      </c>
      <c r="E10" s="68" t="s">
        <v>514</v>
      </c>
      <c r="F10" s="48" t="s">
        <v>583</v>
      </c>
      <c r="G10" s="68" t="s">
        <v>516</v>
      </c>
      <c r="H10" s="68" t="s">
        <v>517</v>
      </c>
      <c r="I10" s="48" t="s">
        <v>518</v>
      </c>
      <c r="J10" s="70"/>
      <c r="K10" s="70"/>
    </row>
    <row r="11" spans="1:13" ht="15" customHeight="1" x14ac:dyDescent="0.25">
      <c r="A11" s="320"/>
      <c r="B11" s="69" t="s">
        <v>204</v>
      </c>
      <c r="C11" s="68" t="s">
        <v>39</v>
      </c>
      <c r="D11" s="68" t="s">
        <v>424</v>
      </c>
      <c r="E11" s="68" t="s">
        <v>213</v>
      </c>
      <c r="F11" s="48" t="s">
        <v>208</v>
      </c>
      <c r="G11" s="68" t="s">
        <v>214</v>
      </c>
      <c r="H11" s="68" t="s">
        <v>213</v>
      </c>
      <c r="I11" s="48" t="s">
        <v>208</v>
      </c>
      <c r="J11" s="70"/>
      <c r="K11" s="70"/>
    </row>
    <row r="12" spans="1:13" ht="15" customHeight="1" x14ac:dyDescent="0.25">
      <c r="A12" s="320"/>
      <c r="B12" s="63">
        <v>0</v>
      </c>
      <c r="C12" s="66">
        <v>0</v>
      </c>
      <c r="D12" s="66">
        <f>+B12*C12</f>
        <v>0</v>
      </c>
      <c r="E12" s="66">
        <v>0</v>
      </c>
      <c r="F12" s="66">
        <f>+D12*E12</f>
        <v>0</v>
      </c>
      <c r="G12" s="72">
        <v>0</v>
      </c>
      <c r="H12" s="66">
        <v>0</v>
      </c>
      <c r="I12" s="66">
        <f>C8*G12*H12</f>
        <v>0</v>
      </c>
      <c r="J12" s="70"/>
      <c r="K12" s="70"/>
      <c r="M12" s="3"/>
    </row>
    <row r="13" spans="1:13" ht="15" customHeight="1" x14ac:dyDescent="0.25">
      <c r="A13" s="320"/>
      <c r="B13" s="69"/>
      <c r="C13" s="66"/>
      <c r="D13" s="67"/>
      <c r="E13" s="66"/>
      <c r="F13" s="68"/>
      <c r="G13" s="66"/>
      <c r="H13" s="68"/>
      <c r="I13" s="66"/>
      <c r="J13" s="68"/>
      <c r="K13" s="68"/>
      <c r="M13" s="3"/>
    </row>
    <row r="14" spans="1:13" ht="15" customHeight="1" x14ac:dyDescent="0.25">
      <c r="A14" s="320"/>
      <c r="B14" s="68" t="s">
        <v>519</v>
      </c>
      <c r="C14" s="68" t="s">
        <v>520</v>
      </c>
      <c r="D14" s="48" t="s">
        <v>521</v>
      </c>
      <c r="E14" s="68" t="s">
        <v>584</v>
      </c>
      <c r="F14" s="48" t="s">
        <v>584</v>
      </c>
      <c r="G14" s="68" t="s">
        <v>585</v>
      </c>
      <c r="H14" s="68" t="s">
        <v>586</v>
      </c>
      <c r="I14" s="48" t="s">
        <v>524</v>
      </c>
      <c r="J14" s="71" t="s">
        <v>96</v>
      </c>
      <c r="K14" s="71" t="s">
        <v>98</v>
      </c>
      <c r="M14" s="3"/>
    </row>
    <row r="15" spans="1:13" ht="15" customHeight="1" x14ac:dyDescent="0.25">
      <c r="A15" s="320"/>
      <c r="B15" s="68" t="s">
        <v>205</v>
      </c>
      <c r="C15" s="68" t="s">
        <v>215</v>
      </c>
      <c r="D15" s="48" t="s">
        <v>208</v>
      </c>
      <c r="E15" s="68" t="s">
        <v>212</v>
      </c>
      <c r="F15" s="48" t="s">
        <v>208</v>
      </c>
      <c r="G15" s="68" t="s">
        <v>208</v>
      </c>
      <c r="H15" s="68" t="s">
        <v>587</v>
      </c>
      <c r="I15" s="48" t="s">
        <v>208</v>
      </c>
      <c r="J15" s="71" t="s">
        <v>208</v>
      </c>
      <c r="K15" s="71" t="s">
        <v>61</v>
      </c>
    </row>
    <row r="16" spans="1:13" ht="15" customHeight="1" x14ac:dyDescent="0.25">
      <c r="A16" s="320"/>
      <c r="B16" s="68">
        <v>0</v>
      </c>
      <c r="C16" s="68">
        <v>0.1</v>
      </c>
      <c r="D16" s="66">
        <f>+B16/C16</f>
        <v>0</v>
      </c>
      <c r="E16" s="66">
        <f>+IHERA_Eq!J241</f>
        <v>0.04</v>
      </c>
      <c r="F16" s="66">
        <f>B8*(E16/100)</f>
        <v>1.2</v>
      </c>
      <c r="G16" s="68">
        <v>0</v>
      </c>
      <c r="H16" s="68">
        <v>0</v>
      </c>
      <c r="I16" s="68">
        <f>+G16*H16</f>
        <v>0</v>
      </c>
      <c r="J16" s="66">
        <f>F12+I12+D16+F16+I16</f>
        <v>1.2</v>
      </c>
      <c r="K16" s="66">
        <f>+J16*H4</f>
        <v>5</v>
      </c>
      <c r="M16" s="3"/>
    </row>
    <row r="17" spans="1:13" ht="15" customHeight="1" x14ac:dyDescent="0.25">
      <c r="A17" s="63"/>
      <c r="B17" s="69"/>
      <c r="C17" s="66"/>
      <c r="D17" s="67"/>
      <c r="E17" s="66"/>
      <c r="F17" s="68"/>
      <c r="G17" s="66"/>
      <c r="H17" s="68"/>
      <c r="I17" s="66"/>
      <c r="J17" s="68"/>
      <c r="K17" s="68"/>
      <c r="M17" s="3"/>
    </row>
    <row r="18" spans="1:13" ht="15" customHeight="1" x14ac:dyDescent="0.25">
      <c r="A18" s="63"/>
      <c r="B18" s="69"/>
      <c r="C18" s="337" t="s">
        <v>626</v>
      </c>
      <c r="D18" s="340"/>
      <c r="E18" s="340"/>
      <c r="F18" s="340"/>
      <c r="G18" s="339" t="s">
        <v>1047</v>
      </c>
      <c r="H18" s="339"/>
      <c r="I18" s="120">
        <f>+Trator53!A28</f>
        <v>300</v>
      </c>
      <c r="J18" s="332" t="s">
        <v>610</v>
      </c>
      <c r="K18" s="334"/>
    </row>
    <row r="19" spans="1:13" ht="15" customHeight="1" x14ac:dyDescent="0.25">
      <c r="A19" s="68" t="s">
        <v>28</v>
      </c>
      <c r="B19" s="68" t="s">
        <v>588</v>
      </c>
      <c r="C19" s="73" t="s">
        <v>619</v>
      </c>
      <c r="D19" s="73" t="s">
        <v>620</v>
      </c>
      <c r="E19" s="73" t="s">
        <v>621</v>
      </c>
      <c r="F19" s="68" t="s">
        <v>622</v>
      </c>
      <c r="G19" s="46" t="s">
        <v>92</v>
      </c>
      <c r="H19" s="46" t="s">
        <v>96</v>
      </c>
      <c r="I19" s="85" t="s">
        <v>216</v>
      </c>
      <c r="J19" s="74" t="s">
        <v>589</v>
      </c>
      <c r="K19" s="74" t="s">
        <v>623</v>
      </c>
    </row>
    <row r="20" spans="1:13" ht="15" customHeight="1" x14ac:dyDescent="0.25">
      <c r="A20" s="68" t="s">
        <v>591</v>
      </c>
      <c r="B20" s="68" t="s">
        <v>207</v>
      </c>
      <c r="C20" s="68" t="s">
        <v>205</v>
      </c>
      <c r="D20" s="68" t="s">
        <v>205</v>
      </c>
      <c r="E20" s="68" t="s">
        <v>205</v>
      </c>
      <c r="F20" s="68" t="s">
        <v>205</v>
      </c>
      <c r="G20" s="46" t="s">
        <v>208</v>
      </c>
      <c r="H20" s="46" t="s">
        <v>208</v>
      </c>
      <c r="I20" s="85" t="s">
        <v>208</v>
      </c>
      <c r="J20" s="74" t="s">
        <v>205</v>
      </c>
      <c r="K20" s="74" t="s">
        <v>205</v>
      </c>
    </row>
    <row r="21" spans="1:13" ht="15" customHeight="1" x14ac:dyDescent="0.25">
      <c r="A21" s="68">
        <v>1</v>
      </c>
      <c r="B21" s="68">
        <f>+K4</f>
        <v>4.166666666666667</v>
      </c>
      <c r="C21" s="66">
        <f>($B$8*0.9)/(B21*$D$8)+(($B$8*1.1)/(2*B21))*($E$8/100)+(($B$8*1.1)/(2*B21)*($F$8/100))</f>
        <v>76.679999999999993</v>
      </c>
      <c r="D21" s="66">
        <f>$D$12*$E$12+$C$8*$G$12*$H$12+$B$16/$C$16+$B$8*($E$16/100)+$G$16*$H$16</f>
        <v>1.2</v>
      </c>
      <c r="E21" s="75">
        <f>+C21+D21</f>
        <v>77.88</v>
      </c>
      <c r="F21" s="75">
        <f>+A21*E21</f>
        <v>77.88</v>
      </c>
      <c r="G21" s="75">
        <f>+Trator53!B28</f>
        <v>11.102966666666667</v>
      </c>
      <c r="H21" s="75">
        <f>+Trator53!C28</f>
        <v>15.650053333333332</v>
      </c>
      <c r="I21" s="77">
        <f>+H21+G21</f>
        <v>26.753019999999999</v>
      </c>
      <c r="J21" s="77">
        <f>+E21+$I$21</f>
        <v>104.63301999999999</v>
      </c>
      <c r="K21" s="77">
        <f>+B21*J21</f>
        <v>435.97091666666665</v>
      </c>
    </row>
    <row r="22" spans="1:13" ht="15" customHeight="1" x14ac:dyDescent="0.25">
      <c r="A22" s="68">
        <f>+A21+2</f>
        <v>3</v>
      </c>
      <c r="B22" s="68">
        <f>+A22*$K$4</f>
        <v>12.5</v>
      </c>
      <c r="C22" s="66">
        <f t="shared" ref="C22:C30" si="5">($B$8*0.9)/(B22*$D$8)+(($B$8*1.1)/(2*B22))*($E$8/100)+(($B$8*1.1)/(2*B22)*($F$8/100))</f>
        <v>25.560000000000002</v>
      </c>
      <c r="D22" s="66">
        <f t="shared" ref="D22:D30" si="6">$D$12*$E$12+$C$8*$G$12*$H$12+$B$16/$C$16+$B$8*($E$16/100)+$G$16*$H$16</f>
        <v>1.2</v>
      </c>
      <c r="E22" s="75">
        <f t="shared" ref="E22:E30" si="7">+C22+D22</f>
        <v>26.76</v>
      </c>
      <c r="F22" s="75">
        <f t="shared" ref="F22:F30" si="8">+A22*E22</f>
        <v>80.28</v>
      </c>
      <c r="G22" s="75"/>
      <c r="H22" s="75"/>
      <c r="I22" s="76"/>
      <c r="J22" s="77">
        <f t="shared" ref="J22:J30" si="9">+E22+$I$21</f>
        <v>53.513019999999997</v>
      </c>
      <c r="K22" s="77">
        <f t="shared" ref="K22:K30" si="10">+B22*J22</f>
        <v>668.91274999999996</v>
      </c>
    </row>
    <row r="23" spans="1:13" ht="15" customHeight="1" x14ac:dyDescent="0.25">
      <c r="A23" s="68">
        <f t="shared" ref="A23:A29" si="11">+A22+2</f>
        <v>5</v>
      </c>
      <c r="B23" s="68">
        <f t="shared" ref="B23:B30" si="12">+A23*$K$4</f>
        <v>20.833333333333336</v>
      </c>
      <c r="C23" s="66">
        <f t="shared" si="5"/>
        <v>15.335999999999997</v>
      </c>
      <c r="D23" s="66">
        <f t="shared" si="6"/>
        <v>1.2</v>
      </c>
      <c r="E23" s="75">
        <f t="shared" si="7"/>
        <v>16.535999999999998</v>
      </c>
      <c r="F23" s="75">
        <f t="shared" si="8"/>
        <v>82.679999999999993</v>
      </c>
      <c r="G23" s="75"/>
      <c r="H23" s="75"/>
      <c r="I23" s="76"/>
      <c r="J23" s="77">
        <f t="shared" si="9"/>
        <v>43.289019999999994</v>
      </c>
      <c r="K23" s="77">
        <f t="shared" si="10"/>
        <v>901.85458333333327</v>
      </c>
    </row>
    <row r="24" spans="1:13" ht="15" customHeight="1" x14ac:dyDescent="0.25">
      <c r="A24" s="68">
        <f t="shared" si="11"/>
        <v>7</v>
      </c>
      <c r="B24" s="68">
        <f t="shared" si="12"/>
        <v>29.166666666666668</v>
      </c>
      <c r="C24" s="66">
        <f t="shared" si="5"/>
        <v>10.954285714285714</v>
      </c>
      <c r="D24" s="66">
        <f t="shared" si="6"/>
        <v>1.2</v>
      </c>
      <c r="E24" s="75">
        <f t="shared" si="7"/>
        <v>12.154285714285713</v>
      </c>
      <c r="F24" s="75">
        <f t="shared" si="8"/>
        <v>85.079999999999984</v>
      </c>
      <c r="G24" s="75"/>
      <c r="H24" s="75"/>
      <c r="I24" s="76"/>
      <c r="J24" s="77">
        <f t="shared" si="9"/>
        <v>38.907305714285712</v>
      </c>
      <c r="K24" s="77">
        <f t="shared" si="10"/>
        <v>1134.7964166666666</v>
      </c>
    </row>
    <row r="25" spans="1:13" ht="15" customHeight="1" x14ac:dyDescent="0.25">
      <c r="A25" s="68">
        <f t="shared" si="11"/>
        <v>9</v>
      </c>
      <c r="B25" s="68">
        <f t="shared" si="12"/>
        <v>37.5</v>
      </c>
      <c r="C25" s="66">
        <f t="shared" si="5"/>
        <v>8.52</v>
      </c>
      <c r="D25" s="66">
        <f t="shared" si="6"/>
        <v>1.2</v>
      </c>
      <c r="E25" s="75">
        <f t="shared" si="7"/>
        <v>9.7199999999999989</v>
      </c>
      <c r="F25" s="75">
        <f t="shared" si="8"/>
        <v>87.47999999999999</v>
      </c>
      <c r="G25" s="75"/>
      <c r="H25" s="75"/>
      <c r="I25" s="76"/>
      <c r="J25" s="77">
        <f t="shared" si="9"/>
        <v>36.473019999999998</v>
      </c>
      <c r="K25" s="77">
        <f t="shared" si="10"/>
        <v>1367.7382499999999</v>
      </c>
    </row>
    <row r="26" spans="1:13" ht="15" customHeight="1" x14ac:dyDescent="0.25">
      <c r="A26" s="68">
        <f t="shared" si="11"/>
        <v>11</v>
      </c>
      <c r="B26" s="68">
        <f t="shared" si="12"/>
        <v>45.833333333333336</v>
      </c>
      <c r="C26" s="66">
        <f t="shared" si="5"/>
        <v>6.9709090909090907</v>
      </c>
      <c r="D26" s="66">
        <f t="shared" si="6"/>
        <v>1.2</v>
      </c>
      <c r="E26" s="75">
        <f t="shared" si="7"/>
        <v>8.17090909090909</v>
      </c>
      <c r="F26" s="75">
        <f t="shared" si="8"/>
        <v>89.88</v>
      </c>
      <c r="G26" s="75"/>
      <c r="H26" s="75"/>
      <c r="I26" s="76"/>
      <c r="J26" s="77">
        <f t="shared" si="9"/>
        <v>34.923929090909091</v>
      </c>
      <c r="K26" s="77">
        <f t="shared" si="10"/>
        <v>1600.6800833333334</v>
      </c>
    </row>
    <row r="27" spans="1:13" ht="15" customHeight="1" x14ac:dyDescent="0.25">
      <c r="A27" s="68">
        <f t="shared" si="11"/>
        <v>13</v>
      </c>
      <c r="B27" s="68">
        <f t="shared" si="12"/>
        <v>54.166666666666671</v>
      </c>
      <c r="C27" s="66">
        <f t="shared" si="5"/>
        <v>5.8984615384615378</v>
      </c>
      <c r="D27" s="66">
        <f t="shared" si="6"/>
        <v>1.2</v>
      </c>
      <c r="E27" s="75">
        <f t="shared" si="7"/>
        <v>7.0984615384615379</v>
      </c>
      <c r="F27" s="75">
        <f t="shared" si="8"/>
        <v>92.279999999999987</v>
      </c>
      <c r="G27" s="75"/>
      <c r="H27" s="75"/>
      <c r="I27" s="76"/>
      <c r="J27" s="77">
        <f t="shared" si="9"/>
        <v>33.851481538461535</v>
      </c>
      <c r="K27" s="77">
        <f t="shared" si="10"/>
        <v>1833.6219166666667</v>
      </c>
    </row>
    <row r="28" spans="1:13" ht="15" customHeight="1" x14ac:dyDescent="0.25">
      <c r="A28" s="68">
        <f t="shared" si="11"/>
        <v>15</v>
      </c>
      <c r="B28" s="68">
        <f t="shared" si="12"/>
        <v>62.500000000000007</v>
      </c>
      <c r="C28" s="66">
        <f t="shared" si="5"/>
        <v>5.1119999999999992</v>
      </c>
      <c r="D28" s="66">
        <f t="shared" si="6"/>
        <v>1.2</v>
      </c>
      <c r="E28" s="75">
        <f t="shared" si="7"/>
        <v>6.3119999999999994</v>
      </c>
      <c r="F28" s="75">
        <f t="shared" si="8"/>
        <v>94.679999999999993</v>
      </c>
      <c r="G28" s="75"/>
      <c r="H28" s="75"/>
      <c r="I28" s="76"/>
      <c r="J28" s="77">
        <f t="shared" si="9"/>
        <v>33.065019999999997</v>
      </c>
      <c r="K28" s="77">
        <f t="shared" si="10"/>
        <v>2066.5637500000003</v>
      </c>
    </row>
    <row r="29" spans="1:13" ht="15" customHeight="1" x14ac:dyDescent="0.25">
      <c r="A29" s="68">
        <f t="shared" si="11"/>
        <v>17</v>
      </c>
      <c r="B29" s="68">
        <f t="shared" si="12"/>
        <v>70.833333333333343</v>
      </c>
      <c r="C29" s="66">
        <f t="shared" si="5"/>
        <v>4.5105882352941169</v>
      </c>
      <c r="D29" s="66">
        <f t="shared" si="6"/>
        <v>1.2</v>
      </c>
      <c r="E29" s="75">
        <f t="shared" si="7"/>
        <v>5.7105882352941171</v>
      </c>
      <c r="F29" s="75">
        <f t="shared" si="8"/>
        <v>97.079999999999984</v>
      </c>
      <c r="G29" s="75"/>
      <c r="H29" s="75"/>
      <c r="I29" s="76"/>
      <c r="J29" s="77">
        <f t="shared" si="9"/>
        <v>32.463608235294117</v>
      </c>
      <c r="K29" s="77">
        <f t="shared" si="10"/>
        <v>2299.5055833333336</v>
      </c>
    </row>
    <row r="30" spans="1:13" ht="15" customHeight="1" x14ac:dyDescent="0.25">
      <c r="A30" s="68">
        <f>+A29+3</f>
        <v>20</v>
      </c>
      <c r="B30" s="68">
        <f t="shared" si="12"/>
        <v>83.333333333333343</v>
      </c>
      <c r="C30" s="66">
        <f t="shared" si="5"/>
        <v>3.8339999999999992</v>
      </c>
      <c r="D30" s="66">
        <f t="shared" si="6"/>
        <v>1.2</v>
      </c>
      <c r="E30" s="75">
        <f t="shared" si="7"/>
        <v>5.0339999999999989</v>
      </c>
      <c r="F30" s="75">
        <f t="shared" si="8"/>
        <v>100.67999999999998</v>
      </c>
      <c r="G30" s="75"/>
      <c r="H30" s="75"/>
      <c r="I30" s="76"/>
      <c r="J30" s="77">
        <f t="shared" si="9"/>
        <v>31.787019999999998</v>
      </c>
      <c r="K30" s="77">
        <f t="shared" si="10"/>
        <v>2648.9183333333335</v>
      </c>
    </row>
    <row r="31" spans="1:13" s="80" customFormat="1" ht="15" customHeight="1" x14ac:dyDescent="0.25">
      <c r="A31" s="325" t="s">
        <v>614</v>
      </c>
      <c r="B31" s="326"/>
      <c r="C31" s="326"/>
      <c r="D31" s="326"/>
      <c r="E31" s="326"/>
      <c r="F31" s="326"/>
      <c r="G31" s="326"/>
      <c r="H31" s="326"/>
      <c r="I31" s="326"/>
      <c r="J31" s="326"/>
      <c r="K31" s="326"/>
    </row>
    <row r="32" spans="1:13" s="80" customFormat="1" ht="15" customHeight="1" x14ac:dyDescent="0.25">
      <c r="A32" s="97">
        <f>+Dados!B5</f>
        <v>9</v>
      </c>
      <c r="B32" s="98">
        <f t="shared" ref="B32" si="13">+A32*$K$4</f>
        <v>37.5</v>
      </c>
      <c r="C32" s="51">
        <f>($B$8*0.9)/(B32*$D$8)+(($B$8*1.1)/(2*B32))*($E$8/100)+(($B$8*1.1)/(2*B32)*($F$8/100))</f>
        <v>8.52</v>
      </c>
      <c r="D32" s="51">
        <f>$D$12*$E$12+$C$8*$G$12*$H$12+$B$16/$C$16+$B$8*($E$16/100)+$G$16*$H$16</f>
        <v>1.2</v>
      </c>
      <c r="E32" s="53">
        <f>+C32+D32</f>
        <v>9.7199999999999989</v>
      </c>
      <c r="F32" s="53">
        <f>+A32*E32</f>
        <v>87.47999999999999</v>
      </c>
      <c r="G32" s="53"/>
      <c r="H32" s="53"/>
      <c r="I32" s="99"/>
      <c r="J32" s="100">
        <f>+E32+$I$21</f>
        <v>36.473019999999998</v>
      </c>
      <c r="K32" s="100">
        <f>+B32*J32</f>
        <v>1367.7382499999999</v>
      </c>
    </row>
    <row r="33" spans="1:11" x14ac:dyDescent="0.25">
      <c r="A33" s="3"/>
      <c r="B33" s="3"/>
      <c r="C33" s="3"/>
      <c r="D33" s="3"/>
      <c r="E33" s="3"/>
      <c r="F33" s="18"/>
      <c r="G33" s="3"/>
      <c r="H33" s="18"/>
      <c r="I33" s="18"/>
      <c r="J33" s="18"/>
      <c r="K33" s="18"/>
    </row>
    <row r="34" spans="1:11" x14ac:dyDescent="0.25">
      <c r="A34" s="3"/>
      <c r="B34" s="3"/>
      <c r="C34" s="3"/>
      <c r="D34" s="3"/>
      <c r="E34" s="3"/>
      <c r="F34" s="18"/>
      <c r="G34" s="3"/>
      <c r="H34" s="18"/>
      <c r="I34" s="18"/>
      <c r="J34" s="18"/>
      <c r="K34" s="18"/>
    </row>
    <row r="35" spans="1:11" x14ac:dyDescent="0.25">
      <c r="A35" s="3"/>
      <c r="B35" s="3"/>
      <c r="C35" s="3"/>
      <c r="D35" s="3"/>
      <c r="E35" s="3"/>
      <c r="F35" s="18"/>
      <c r="G35" s="3"/>
      <c r="H35" s="18"/>
      <c r="I35" s="18"/>
      <c r="J35" s="18"/>
      <c r="K35" s="18"/>
    </row>
    <row r="36" spans="1:11" x14ac:dyDescent="0.25">
      <c r="A36" s="3"/>
      <c r="B36" s="3"/>
      <c r="C36" s="3"/>
      <c r="D36" s="3"/>
      <c r="E36" s="3"/>
      <c r="F36" s="18"/>
      <c r="G36" s="3"/>
      <c r="H36" s="18"/>
      <c r="I36" s="18"/>
      <c r="J36" s="18"/>
      <c r="K36" s="18"/>
    </row>
    <row r="37" spans="1:11" x14ac:dyDescent="0.25">
      <c r="A37" s="3"/>
      <c r="B37" s="3"/>
      <c r="C37" s="3"/>
      <c r="D37" s="3"/>
      <c r="E37" s="3"/>
      <c r="F37" s="18"/>
      <c r="G37" s="3"/>
      <c r="H37" s="18"/>
      <c r="I37" s="18"/>
      <c r="J37" s="18"/>
      <c r="K37" s="18"/>
    </row>
    <row r="38" spans="1:11" x14ac:dyDescent="0.25">
      <c r="A38" s="18"/>
      <c r="B38" s="4"/>
      <c r="C38" s="18"/>
      <c r="D38" s="18"/>
      <c r="E38" s="18"/>
      <c r="F38" s="18"/>
      <c r="G38" s="18"/>
      <c r="H38" s="18"/>
      <c r="I38" s="18"/>
      <c r="J38" s="18"/>
      <c r="K38" s="18"/>
    </row>
    <row r="39" spans="1:11" x14ac:dyDescent="0.25">
      <c r="A39" s="18"/>
      <c r="B39" s="5"/>
      <c r="C39" s="18"/>
      <c r="D39" s="5"/>
      <c r="E39" s="18"/>
      <c r="F39" s="18"/>
      <c r="G39" s="18"/>
      <c r="H39" s="18"/>
      <c r="I39" s="18"/>
      <c r="J39" s="18"/>
      <c r="K39" s="18"/>
    </row>
    <row r="40" spans="1:11" x14ac:dyDescent="0.25">
      <c r="A40" s="18"/>
      <c r="B40" s="4"/>
      <c r="C40" s="18"/>
      <c r="D40" s="18"/>
      <c r="E40" s="18"/>
      <c r="F40" s="18"/>
      <c r="G40" s="18"/>
      <c r="H40" s="18"/>
      <c r="I40" s="18"/>
      <c r="J40" s="18"/>
      <c r="K40" s="18"/>
    </row>
    <row r="41" spans="1:11" x14ac:dyDescent="0.25">
      <c r="A41" s="18"/>
      <c r="B41" s="4"/>
      <c r="C41" s="18"/>
      <c r="D41" s="18"/>
      <c r="E41" s="18"/>
      <c r="F41" s="18"/>
      <c r="G41" s="18"/>
      <c r="H41" s="18"/>
      <c r="I41" s="18"/>
      <c r="J41" s="18"/>
      <c r="K41" s="18"/>
    </row>
    <row r="42" spans="1:11" x14ac:dyDescent="0.25">
      <c r="A42" s="18"/>
      <c r="B42" s="4"/>
      <c r="C42" s="18"/>
      <c r="D42" s="18"/>
      <c r="E42" s="18"/>
      <c r="F42" s="18"/>
      <c r="G42" s="18"/>
      <c r="H42" s="18"/>
      <c r="I42" s="18"/>
      <c r="J42" s="18"/>
      <c r="K42" s="18"/>
    </row>
    <row r="43" spans="1:11" x14ac:dyDescent="0.25">
      <c r="A43" s="18"/>
      <c r="B43" s="4"/>
      <c r="C43" s="18"/>
      <c r="D43" s="18"/>
      <c r="E43" s="18"/>
      <c r="F43" s="18"/>
      <c r="G43" s="18"/>
      <c r="H43" s="18"/>
      <c r="I43" s="18"/>
      <c r="J43" s="18"/>
      <c r="K43" s="18"/>
    </row>
    <row r="44" spans="1:11" x14ac:dyDescent="0.25">
      <c r="A44" s="18"/>
      <c r="B44" s="4"/>
      <c r="C44" s="18"/>
      <c r="D44" s="18"/>
      <c r="E44" s="18"/>
      <c r="F44" s="18"/>
      <c r="G44" s="18"/>
      <c r="H44" s="18"/>
      <c r="I44" s="18"/>
      <c r="J44" s="18"/>
      <c r="K44" s="18"/>
    </row>
    <row r="45" spans="1:11" x14ac:dyDescent="0.25">
      <c r="A45" s="18"/>
      <c r="B45" s="4"/>
      <c r="C45" s="18"/>
      <c r="D45" s="18"/>
      <c r="E45" s="18"/>
      <c r="F45" s="18"/>
      <c r="G45" s="18"/>
      <c r="H45" s="18"/>
      <c r="I45" s="18"/>
      <c r="J45" s="18"/>
      <c r="K45" s="18"/>
    </row>
    <row r="46" spans="1:11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</row>
    <row r="48" spans="1:11" x14ac:dyDescent="0.25">
      <c r="A48" s="18"/>
      <c r="B48" s="4"/>
      <c r="C48" s="18"/>
      <c r="D48" s="18"/>
      <c r="E48" s="18"/>
      <c r="F48" s="18"/>
      <c r="G48" s="18"/>
      <c r="H48" s="18"/>
      <c r="I48" s="18"/>
      <c r="J48" s="18"/>
      <c r="K48" s="18"/>
    </row>
    <row r="49" spans="1:13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</row>
    <row r="50" spans="1:13" x14ac:dyDescent="0.25">
      <c r="A50" s="18"/>
      <c r="B50" s="4"/>
      <c r="C50" s="18"/>
      <c r="D50" s="18"/>
      <c r="E50" s="18"/>
      <c r="F50" s="18"/>
      <c r="G50" s="18"/>
      <c r="H50" s="18"/>
      <c r="I50" s="18"/>
      <c r="J50" s="18"/>
      <c r="K50" s="18"/>
      <c r="L50" s="4"/>
      <c r="M50" s="4"/>
    </row>
    <row r="51" spans="1:13" x14ac:dyDescent="0.25">
      <c r="A51" s="18"/>
      <c r="B51" s="4"/>
      <c r="C51" s="4"/>
      <c r="D51" s="4"/>
      <c r="E51" s="4"/>
      <c r="F51" s="4"/>
      <c r="G51" s="18"/>
      <c r="H51" s="4"/>
      <c r="I51" s="18"/>
      <c r="J51" s="4"/>
      <c r="K51" s="18"/>
    </row>
    <row r="52" spans="1:13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</row>
    <row r="53" spans="1:13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</row>
    <row r="54" spans="1:13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</row>
    <row r="55" spans="1:13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</row>
    <row r="56" spans="1:13" x14ac:dyDescent="0.2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</row>
  </sheetData>
  <mergeCells count="6">
    <mergeCell ref="A31:K31"/>
    <mergeCell ref="B1:K1"/>
    <mergeCell ref="A4:A16"/>
    <mergeCell ref="G18:H18"/>
    <mergeCell ref="J18:K18"/>
    <mergeCell ref="C18:F18"/>
  </mergeCells>
  <hyperlinks>
    <hyperlink ref="A1" location="Indice!A1" display="Índice"/>
  </hyperlinks>
  <printOptions horizontalCentered="1" verticalCentered="1" gridLines="1"/>
  <pageMargins left="7.874015748031496E-2" right="7.874015748031496E-2" top="7.874015748031496E-2" bottom="7.874015748031496E-2" header="0.31496062992125984" footer="0.31496062992125984"/>
  <pageSetup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25</vt:i4>
      </vt:variant>
    </vt:vector>
  </HeadingPairs>
  <TitlesOfParts>
    <vt:vector size="25" baseType="lpstr">
      <vt:lpstr>Indice</vt:lpstr>
      <vt:lpstr>Siglas</vt:lpstr>
      <vt:lpstr>Dados</vt:lpstr>
      <vt:lpstr>PrePoda</vt:lpstr>
      <vt:lpstr>TritSar</vt:lpstr>
      <vt:lpstr>LocAdubo</vt:lpstr>
      <vt:lpstr>Escar</vt:lpstr>
      <vt:lpstr>Pulv</vt:lpstr>
      <vt:lpstr>Despont</vt:lpstr>
      <vt:lpstr>Reboq3.5</vt:lpstr>
      <vt:lpstr>Reboq4.5</vt:lpstr>
      <vt:lpstr>EquipPot</vt:lpstr>
      <vt:lpstr>Trator35</vt:lpstr>
      <vt:lpstr>Trator53</vt:lpstr>
      <vt:lpstr>Trator60</vt:lpstr>
      <vt:lpstr>Enc_TrEquip</vt:lpstr>
      <vt:lpstr>OpManual</vt:lpstr>
      <vt:lpstr>CalCult</vt:lpstr>
      <vt:lpstr>CtoTt</vt:lpstr>
      <vt:lpstr>Res_Eco</vt:lpstr>
      <vt:lpstr>IHERA_Tr</vt:lpstr>
      <vt:lpstr>IHERA_Eq</vt:lpstr>
      <vt:lpstr>Vel  EfC</vt:lpstr>
      <vt:lpstr>Potencias</vt:lpstr>
      <vt:lpstr>Reparações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Fernando Santos</dc:creator>
  <cp:keywords/>
  <dc:description/>
  <cp:lastModifiedBy>Fernando Santos</cp:lastModifiedBy>
  <cp:lastPrinted>2021-03-24T11:26:59Z</cp:lastPrinted>
  <dcterms:created xsi:type="dcterms:W3CDTF">2024-03-22T12:03:39Z</dcterms:created>
  <dcterms:modified xsi:type="dcterms:W3CDTF">2024-03-22T12:03:39Z</dcterms:modified>
  <cp:category/>
</cp:coreProperties>
</file>