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DocTrab\PEA\"/>
    </mc:Choice>
  </mc:AlternateContent>
  <bookViews>
    <workbookView xWindow="120" yWindow="96" windowWidth="9432" windowHeight="5472"/>
  </bookViews>
  <sheets>
    <sheet name="Dados" sheetId="2" r:id="rId1"/>
    <sheet name="Rt_Cto_Eq" sheetId="7" r:id="rId2"/>
    <sheet name="Cto_Trat" sheetId="6" r:id="rId3"/>
    <sheet name="Cto_OpCt" sheetId="9" r:id="rId4"/>
    <sheet name="Cal_Cult" sheetId="1" r:id="rId5"/>
    <sheet name="Cto_MO_Mq" sheetId="10" r:id="rId6"/>
    <sheet name="Cto_Out_RE" sheetId="11" r:id="rId7"/>
    <sheet name="IHERA_Trat" sheetId="3" r:id="rId8"/>
    <sheet name="IHER_Equip" sheetId="4" r:id="rId9"/>
    <sheet name="Vel_Ec" sheetId="8" r:id="rId10"/>
  </sheets>
  <externalReferences>
    <externalReference r:id="rId11"/>
  </externalReferences>
  <calcPr calcId="162913"/>
</workbook>
</file>

<file path=xl/calcChain.xml><?xml version="1.0" encoding="utf-8"?>
<calcChain xmlns="http://schemas.openxmlformats.org/spreadsheetml/2006/main">
  <c r="B20" i="10" l="1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5" i="10"/>
  <c r="A4" i="10"/>
  <c r="A3" i="10"/>
  <c r="A5" i="1"/>
  <c r="A4" i="1"/>
  <c r="A3" i="1"/>
  <c r="B16" i="9"/>
  <c r="B15" i="9"/>
  <c r="B14" i="9"/>
  <c r="B13" i="9"/>
  <c r="B12" i="9"/>
  <c r="B11" i="9"/>
  <c r="B10" i="9"/>
  <c r="B9" i="9"/>
  <c r="B8" i="9"/>
  <c r="B7" i="9"/>
  <c r="B6" i="9"/>
  <c r="B5" i="9"/>
  <c r="B4" i="9"/>
  <c r="A15" i="9"/>
  <c r="A14" i="9"/>
  <c r="A13" i="9"/>
  <c r="A12" i="9"/>
  <c r="A11" i="9"/>
  <c r="A10" i="9"/>
  <c r="A9" i="9"/>
  <c r="A8" i="9"/>
  <c r="A7" i="9"/>
  <c r="A6" i="9"/>
  <c r="A5" i="9"/>
  <c r="A4" i="9"/>
  <c r="E16" i="10"/>
  <c r="E22" i="10" s="1"/>
  <c r="A27" i="6"/>
  <c r="A42" i="6" s="1"/>
  <c r="A12" i="6"/>
  <c r="A8" i="6"/>
  <c r="A23" i="6" s="1"/>
  <c r="A38" i="6" s="1"/>
  <c r="A4" i="6"/>
  <c r="A19" i="6" s="1"/>
  <c r="A34" i="6" s="1"/>
  <c r="A19" i="7"/>
  <c r="A35" i="7" s="1"/>
  <c r="A50" i="7" s="1"/>
  <c r="A65" i="7" s="1"/>
  <c r="A18" i="7"/>
  <c r="A34" i="7" s="1"/>
  <c r="A49" i="7" s="1"/>
  <c r="A64" i="7" s="1"/>
  <c r="A17" i="7"/>
  <c r="A33" i="7" s="1"/>
  <c r="A48" i="7" s="1"/>
  <c r="A63" i="7" s="1"/>
  <c r="A16" i="7"/>
  <c r="A32" i="7" s="1"/>
  <c r="A47" i="7" s="1"/>
  <c r="A62" i="7" s="1"/>
  <c r="A15" i="7"/>
  <c r="A31" i="7" s="1"/>
  <c r="A46" i="7" s="1"/>
  <c r="A61" i="7" s="1"/>
  <c r="A14" i="7"/>
  <c r="A30" i="7" s="1"/>
  <c r="A45" i="7" s="1"/>
  <c r="A60" i="7" s="1"/>
  <c r="A13" i="7"/>
  <c r="A29" i="7" s="1"/>
  <c r="A44" i="7" s="1"/>
  <c r="A59" i="7" s="1"/>
  <c r="A12" i="7"/>
  <c r="A28" i="7" s="1"/>
  <c r="A43" i="7" s="1"/>
  <c r="A58" i="7" s="1"/>
  <c r="A11" i="7"/>
  <c r="A27" i="7" s="1"/>
  <c r="A42" i="7" s="1"/>
  <c r="A57" i="7" s="1"/>
  <c r="A10" i="7"/>
  <c r="A26" i="7" s="1"/>
  <c r="A41" i="7" s="1"/>
  <c r="A56" i="7" s="1"/>
  <c r="A9" i="7"/>
  <c r="A25" i="7" s="1"/>
  <c r="A40" i="7" s="1"/>
  <c r="A55" i="7" s="1"/>
  <c r="A8" i="7"/>
  <c r="A24" i="7" s="1"/>
  <c r="A39" i="7" s="1"/>
  <c r="A54" i="7" s="1"/>
  <c r="A6" i="7"/>
  <c r="A5" i="7"/>
  <c r="A4" i="7"/>
  <c r="H57" i="2"/>
  <c r="B57" i="2"/>
  <c r="L85" i="2"/>
  <c r="M51" i="2"/>
  <c r="I51" i="2"/>
  <c r="L61" i="2"/>
  <c r="K81" i="2"/>
  <c r="H7" i="11" s="1"/>
  <c r="I82" i="2"/>
  <c r="J4" i="11"/>
  <c r="H9" i="2"/>
  <c r="D35" i="7"/>
  <c r="D34" i="7"/>
  <c r="D33" i="7"/>
  <c r="D32" i="7"/>
  <c r="D31" i="7"/>
  <c r="D30" i="7"/>
  <c r="D29" i="7"/>
  <c r="D28" i="7"/>
  <c r="D27" i="7"/>
  <c r="D26" i="7"/>
  <c r="D25" i="7"/>
  <c r="D24" i="7"/>
  <c r="K21" i="2"/>
  <c r="K235" i="4"/>
  <c r="K234" i="4"/>
  <c r="K233" i="4"/>
  <c r="K232" i="4"/>
  <c r="K231" i="4"/>
  <c r="K230" i="4"/>
  <c r="K229" i="4"/>
  <c r="K228" i="4"/>
  <c r="K227" i="4"/>
  <c r="K226" i="4"/>
  <c r="N226" i="4" s="1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N209" i="4" s="1"/>
  <c r="K208" i="4"/>
  <c r="K207" i="4"/>
  <c r="K206" i="4"/>
  <c r="K205" i="4"/>
  <c r="K204" i="4"/>
  <c r="K203" i="4"/>
  <c r="K202" i="4"/>
  <c r="N202" i="4" s="1"/>
  <c r="K201" i="4"/>
  <c r="K200" i="4"/>
  <c r="K199" i="4"/>
  <c r="K198" i="4"/>
  <c r="K197" i="4"/>
  <c r="N197" i="4" s="1"/>
  <c r="K196" i="4"/>
  <c r="K195" i="4"/>
  <c r="K194" i="4"/>
  <c r="K193" i="4"/>
  <c r="K192" i="4"/>
  <c r="K191" i="4"/>
  <c r="K190" i="4"/>
  <c r="N190" i="4" s="1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N173" i="4" s="1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N118" i="4" s="1"/>
  <c r="K117" i="4"/>
  <c r="K116" i="4"/>
  <c r="K115" i="4"/>
  <c r="K114" i="4"/>
  <c r="K113" i="4"/>
  <c r="K112" i="4"/>
  <c r="K111" i="4"/>
  <c r="K110" i="4"/>
  <c r="K109" i="4"/>
  <c r="K108" i="4"/>
  <c r="K107" i="4"/>
  <c r="K106" i="4"/>
  <c r="N106" i="4" s="1"/>
  <c r="K105" i="4"/>
  <c r="K104" i="4"/>
  <c r="K103" i="4"/>
  <c r="K102" i="4"/>
  <c r="K101" i="4"/>
  <c r="K100" i="4"/>
  <c r="K99" i="4"/>
  <c r="K98" i="4"/>
  <c r="K97" i="4"/>
  <c r="K96" i="4"/>
  <c r="K95" i="4"/>
  <c r="K94" i="4"/>
  <c r="N94" i="4" s="1"/>
  <c r="K93" i="4"/>
  <c r="K92" i="4"/>
  <c r="K91" i="4"/>
  <c r="K90" i="4"/>
  <c r="K89" i="4"/>
  <c r="K88" i="4"/>
  <c r="K87" i="4"/>
  <c r="K86" i="4"/>
  <c r="K85" i="4"/>
  <c r="K84" i="4"/>
  <c r="K83" i="4"/>
  <c r="K82" i="4"/>
  <c r="N82" i="4" s="1"/>
  <c r="K81" i="4"/>
  <c r="K80" i="4"/>
  <c r="K79" i="4"/>
  <c r="K78" i="4"/>
  <c r="K77" i="4"/>
  <c r="N77" i="4" s="1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N17" i="4" s="1"/>
  <c r="K16" i="4"/>
  <c r="K15" i="4"/>
  <c r="K14" i="4"/>
  <c r="K13" i="4"/>
  <c r="K12" i="4"/>
  <c r="K11" i="4"/>
  <c r="K10" i="4"/>
  <c r="K9" i="4"/>
  <c r="K8" i="4"/>
  <c r="K7" i="4"/>
  <c r="K6" i="4"/>
  <c r="K5" i="4"/>
  <c r="K4" i="4"/>
  <c r="J21" i="2"/>
  <c r="I21" i="2"/>
  <c r="H21" i="2"/>
  <c r="J45" i="3"/>
  <c r="J44" i="3"/>
  <c r="J43" i="3"/>
  <c r="M43" i="3" s="1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M19" i="3" s="1"/>
  <c r="J18" i="3"/>
  <c r="J17" i="3"/>
  <c r="J16" i="3"/>
  <c r="J15" i="3"/>
  <c r="J14" i="3"/>
  <c r="J13" i="3"/>
  <c r="J12" i="3"/>
  <c r="J11" i="3"/>
  <c r="J10" i="3"/>
  <c r="J9" i="3"/>
  <c r="J8" i="3"/>
  <c r="J7" i="3"/>
  <c r="M7" i="3" s="1"/>
  <c r="J6" i="3"/>
  <c r="B91" i="2"/>
  <c r="E91" i="2" s="1"/>
  <c r="F91" i="2" s="1"/>
  <c r="B90" i="2"/>
  <c r="E90" i="2" s="1"/>
  <c r="F90" i="2" s="1"/>
  <c r="D87" i="2"/>
  <c r="D86" i="2"/>
  <c r="J52" i="2"/>
  <c r="K52" i="2"/>
  <c r="L52" i="2"/>
  <c r="N52" i="2" s="1"/>
  <c r="M52" i="2"/>
  <c r="K51" i="2"/>
  <c r="L51" i="2" s="1"/>
  <c r="C52" i="2"/>
  <c r="C51" i="2"/>
  <c r="K31" i="2"/>
  <c r="G7" i="11"/>
  <c r="F7" i="11"/>
  <c r="B11" i="11"/>
  <c r="B10" i="11"/>
  <c r="C9" i="11"/>
  <c r="B9" i="11"/>
  <c r="A9" i="11"/>
  <c r="C8" i="11"/>
  <c r="B8" i="11"/>
  <c r="A8" i="11"/>
  <c r="C7" i="11"/>
  <c r="B7" i="11"/>
  <c r="A7" i="11"/>
  <c r="K4" i="11"/>
  <c r="C6" i="11"/>
  <c r="B6" i="11"/>
  <c r="A6" i="11"/>
  <c r="C5" i="11"/>
  <c r="B5" i="11"/>
  <c r="A5" i="11"/>
  <c r="C4" i="11"/>
  <c r="B4" i="11"/>
  <c r="A4" i="11"/>
  <c r="C3" i="11"/>
  <c r="B3" i="11"/>
  <c r="A3" i="11"/>
  <c r="N21" i="10"/>
  <c r="K21" i="10"/>
  <c r="O21" i="10"/>
  <c r="N20" i="10"/>
  <c r="G16" i="10"/>
  <c r="B21" i="10"/>
  <c r="A1" i="10"/>
  <c r="I80" i="2"/>
  <c r="K80" i="2" s="1"/>
  <c r="I79" i="2"/>
  <c r="K79" i="2"/>
  <c r="I91" i="2"/>
  <c r="C11" i="11"/>
  <c r="I90" i="2"/>
  <c r="M90" i="2"/>
  <c r="D10" i="11" s="1"/>
  <c r="C15" i="9"/>
  <c r="C14" i="9"/>
  <c r="B19" i="7"/>
  <c r="C13" i="9"/>
  <c r="C12" i="9"/>
  <c r="C11" i="9"/>
  <c r="C10" i="9"/>
  <c r="C9" i="9"/>
  <c r="C8" i="9"/>
  <c r="C7" i="9"/>
  <c r="C6" i="9"/>
  <c r="C5" i="9"/>
  <c r="C4" i="9"/>
  <c r="Q40" i="2"/>
  <c r="P40" i="2"/>
  <c r="N40" i="2"/>
  <c r="L11" i="7" s="1"/>
  <c r="N39" i="2"/>
  <c r="L10" i="7" s="1"/>
  <c r="E57" i="7"/>
  <c r="C57" i="7"/>
  <c r="D57" i="7"/>
  <c r="H42" i="7"/>
  <c r="I42" i="7" s="1"/>
  <c r="G42" i="7"/>
  <c r="E42" i="7"/>
  <c r="C42" i="7"/>
  <c r="D42" i="7"/>
  <c r="F42" i="7" s="1"/>
  <c r="F27" i="7"/>
  <c r="C27" i="7"/>
  <c r="H40" i="2"/>
  <c r="F40" i="2"/>
  <c r="B40" i="2"/>
  <c r="B11" i="7"/>
  <c r="A47" i="6"/>
  <c r="N48" i="2"/>
  <c r="L19" i="7"/>
  <c r="N47" i="2"/>
  <c r="L18" i="7" s="1"/>
  <c r="N38" i="2"/>
  <c r="L9" i="7" s="1"/>
  <c r="N37" i="2"/>
  <c r="L8" i="7" s="1"/>
  <c r="N46" i="2"/>
  <c r="L17" i="7" s="1"/>
  <c r="N44" i="2"/>
  <c r="L15" i="7"/>
  <c r="N45" i="2"/>
  <c r="L16" i="7"/>
  <c r="N43" i="2"/>
  <c r="L14" i="7" s="1"/>
  <c r="N42" i="2"/>
  <c r="L13" i="7" s="1"/>
  <c r="N41" i="2"/>
  <c r="L12" i="7" s="1"/>
  <c r="M6" i="7"/>
  <c r="M16" i="2" s="1"/>
  <c r="M5" i="7"/>
  <c r="M15" i="2"/>
  <c r="M4" i="7"/>
  <c r="M14" i="2" s="1"/>
  <c r="K2" i="7"/>
  <c r="J2" i="7"/>
  <c r="Q47" i="2"/>
  <c r="F18" i="7"/>
  <c r="P47" i="2"/>
  <c r="P48" i="2"/>
  <c r="Q46" i="2"/>
  <c r="F17" i="7" s="1"/>
  <c r="P46" i="2"/>
  <c r="Q45" i="2"/>
  <c r="F16" i="7"/>
  <c r="P45" i="2"/>
  <c r="D16" i="7" s="1"/>
  <c r="E16" i="7" s="1"/>
  <c r="P44" i="2"/>
  <c r="D15" i="7" s="1"/>
  <c r="E15" i="7"/>
  <c r="G15" i="7" s="1"/>
  <c r="H15" i="7" s="1"/>
  <c r="J15" i="7" s="1"/>
  <c r="Q44" i="2"/>
  <c r="F15" i="7" s="1"/>
  <c r="Q43" i="2"/>
  <c r="F14" i="7"/>
  <c r="P43" i="2"/>
  <c r="D14" i="7"/>
  <c r="E14" i="7" s="1"/>
  <c r="Q42" i="2"/>
  <c r="F13" i="7"/>
  <c r="P42" i="2"/>
  <c r="D13" i="7"/>
  <c r="E13" i="7" s="1"/>
  <c r="Q41" i="2"/>
  <c r="F12" i="7" s="1"/>
  <c r="P41" i="2"/>
  <c r="D12" i="7"/>
  <c r="E12" i="7" s="1"/>
  <c r="Q39" i="2"/>
  <c r="F10" i="7" s="1"/>
  <c r="P39" i="2"/>
  <c r="Q38" i="2"/>
  <c r="F9" i="7" s="1"/>
  <c r="P38" i="2"/>
  <c r="D9" i="7"/>
  <c r="E9" i="7"/>
  <c r="G9" i="7" s="1"/>
  <c r="H9" i="7" s="1"/>
  <c r="J9" i="7" s="1"/>
  <c r="Q37" i="2"/>
  <c r="F8" i="7"/>
  <c r="P37" i="2"/>
  <c r="D8" i="7" s="1"/>
  <c r="D21" i="2"/>
  <c r="C21" i="2"/>
  <c r="B21" i="2"/>
  <c r="D22" i="2"/>
  <c r="C22" i="2"/>
  <c r="B22" i="2"/>
  <c r="J32" i="2"/>
  <c r="E44" i="6"/>
  <c r="I32" i="2"/>
  <c r="H32" i="2"/>
  <c r="J31" i="2"/>
  <c r="I31" i="2"/>
  <c r="H31" i="2"/>
  <c r="J28" i="2"/>
  <c r="I28" i="2"/>
  <c r="H28" i="2"/>
  <c r="G19" i="6"/>
  <c r="G24" i="6" s="1"/>
  <c r="J27" i="2"/>
  <c r="I27" i="2"/>
  <c r="H27" i="2"/>
  <c r="F19" i="6"/>
  <c r="F27" i="6" s="1"/>
  <c r="J26" i="2"/>
  <c r="I26" i="2"/>
  <c r="H26" i="2"/>
  <c r="D19" i="6" s="1"/>
  <c r="E33" i="2"/>
  <c r="D32" i="2"/>
  <c r="C32" i="2"/>
  <c r="B32" i="2"/>
  <c r="D31" i="2"/>
  <c r="C31" i="2"/>
  <c r="B31" i="2"/>
  <c r="C34" i="6" s="1"/>
  <c r="C37" i="6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D23" i="2"/>
  <c r="C23" i="2"/>
  <c r="J25" i="2"/>
  <c r="I25" i="2"/>
  <c r="H25" i="2"/>
  <c r="C19" i="6" s="1"/>
  <c r="C20" i="6" s="1"/>
  <c r="J24" i="2"/>
  <c r="I24" i="2"/>
  <c r="J23" i="2"/>
  <c r="I23" i="2"/>
  <c r="B15" i="6"/>
  <c r="B45" i="6" s="1"/>
  <c r="B14" i="6"/>
  <c r="B29" i="6" s="1"/>
  <c r="B13" i="6"/>
  <c r="B11" i="6"/>
  <c r="B26" i="6" s="1"/>
  <c r="B10" i="6"/>
  <c r="B25" i="6" s="1"/>
  <c r="B9" i="6"/>
  <c r="B12" i="6"/>
  <c r="B8" i="6"/>
  <c r="B7" i="6"/>
  <c r="B37" i="6" s="1"/>
  <c r="B6" i="6"/>
  <c r="B5" i="6"/>
  <c r="B4" i="6"/>
  <c r="B34" i="6" s="1"/>
  <c r="B19" i="6"/>
  <c r="B18" i="7"/>
  <c r="B17" i="7"/>
  <c r="B16" i="7"/>
  <c r="B15" i="7"/>
  <c r="B14" i="7"/>
  <c r="B13" i="7"/>
  <c r="B12" i="7"/>
  <c r="B10" i="7"/>
  <c r="B9" i="7"/>
  <c r="B8" i="7"/>
  <c r="J27" i="6"/>
  <c r="J29" i="6" s="1"/>
  <c r="J23" i="6"/>
  <c r="J19" i="6"/>
  <c r="I27" i="6"/>
  <c r="I23" i="6"/>
  <c r="I19" i="6"/>
  <c r="I22" i="6" s="1"/>
  <c r="D81" i="2"/>
  <c r="H89" i="2"/>
  <c r="C89" i="2"/>
  <c r="E85" i="2"/>
  <c r="F85" i="2" s="1"/>
  <c r="J74" i="2"/>
  <c r="K74" i="2"/>
  <c r="D8" i="11" s="1"/>
  <c r="D74" i="2"/>
  <c r="E74" i="2" s="1"/>
  <c r="J64" i="2"/>
  <c r="K64" i="2" s="1"/>
  <c r="D7" i="11" s="1"/>
  <c r="D64" i="2"/>
  <c r="E64" i="2" s="1"/>
  <c r="J73" i="2"/>
  <c r="K73" i="2" s="1"/>
  <c r="D6" i="11" s="1"/>
  <c r="D73" i="2"/>
  <c r="E73" i="2" s="1"/>
  <c r="J67" i="2"/>
  <c r="K67" i="2" s="1"/>
  <c r="D4" i="11" s="1"/>
  <c r="D67" i="2"/>
  <c r="E67" i="2"/>
  <c r="J76" i="2"/>
  <c r="K76" i="2" s="1"/>
  <c r="D3" i="11" s="1"/>
  <c r="D76" i="2"/>
  <c r="E76" i="2" s="1"/>
  <c r="A1" i="1"/>
  <c r="F48" i="2"/>
  <c r="F47" i="2"/>
  <c r="F46" i="2"/>
  <c r="F45" i="2"/>
  <c r="F44" i="2"/>
  <c r="F43" i="2"/>
  <c r="F42" i="2"/>
  <c r="F41" i="2"/>
  <c r="F39" i="2"/>
  <c r="F38" i="2"/>
  <c r="F37" i="2"/>
  <c r="J87" i="2"/>
  <c r="K87" i="2"/>
  <c r="B21" i="1"/>
  <c r="J86" i="2"/>
  <c r="K86" i="2" s="1"/>
  <c r="L33" i="2"/>
  <c r="B12" i="11" s="1"/>
  <c r="B53" i="2"/>
  <c r="J72" i="2"/>
  <c r="K72" i="2"/>
  <c r="D5" i="11" s="1"/>
  <c r="J70" i="2"/>
  <c r="K70" i="2"/>
  <c r="J69" i="2"/>
  <c r="K69" i="2"/>
  <c r="H16" i="2"/>
  <c r="D12" i="6"/>
  <c r="B16" i="2"/>
  <c r="H15" i="2"/>
  <c r="D8" i="6"/>
  <c r="B15" i="2"/>
  <c r="H14" i="2"/>
  <c r="D4" i="6" s="1"/>
  <c r="B14" i="2"/>
  <c r="E65" i="7"/>
  <c r="F65" i="7" s="1"/>
  <c r="E64" i="7"/>
  <c r="E63" i="7"/>
  <c r="E62" i="7"/>
  <c r="E61" i="7"/>
  <c r="E60" i="7"/>
  <c r="E59" i="7"/>
  <c r="E58" i="7"/>
  <c r="E56" i="7"/>
  <c r="E55" i="7"/>
  <c r="E54" i="7"/>
  <c r="G54" i="7"/>
  <c r="G65" i="7"/>
  <c r="I65" i="7" s="1"/>
  <c r="L1" i="4"/>
  <c r="L19" i="4" s="1"/>
  <c r="N19" i="4" s="1"/>
  <c r="H48" i="2"/>
  <c r="B35" i="7"/>
  <c r="H47" i="2"/>
  <c r="B34" i="7"/>
  <c r="F64" i="7" s="1"/>
  <c r="H46" i="2"/>
  <c r="B33" i="7"/>
  <c r="F63" i="7" s="1"/>
  <c r="H45" i="2"/>
  <c r="B32" i="7" s="1"/>
  <c r="H44" i="2"/>
  <c r="B31" i="7" s="1"/>
  <c r="H43" i="2"/>
  <c r="B30" i="7"/>
  <c r="F60" i="7" s="1"/>
  <c r="H42" i="2"/>
  <c r="B29" i="7"/>
  <c r="F59" i="7" s="1"/>
  <c r="H41" i="2"/>
  <c r="B28" i="7" s="1"/>
  <c r="H39" i="2"/>
  <c r="B27" i="7" s="1"/>
  <c r="F57" i="7" s="1"/>
  <c r="H38" i="2"/>
  <c r="B25" i="7"/>
  <c r="F55" i="7"/>
  <c r="H37" i="2"/>
  <c r="B24" i="7"/>
  <c r="H24" i="2"/>
  <c r="G4" i="6" s="1"/>
  <c r="B24" i="2"/>
  <c r="H23" i="2"/>
  <c r="F4" i="6"/>
  <c r="B23" i="2"/>
  <c r="B48" i="2"/>
  <c r="B47" i="2"/>
  <c r="B46" i="2"/>
  <c r="B45" i="2"/>
  <c r="B44" i="2"/>
  <c r="B43" i="2"/>
  <c r="B42" i="2"/>
  <c r="B41" i="2"/>
  <c r="B39" i="2"/>
  <c r="B38" i="2"/>
  <c r="B37" i="2"/>
  <c r="D80" i="2"/>
  <c r="D79" i="2"/>
  <c r="D72" i="2"/>
  <c r="E72" i="2"/>
  <c r="D70" i="2"/>
  <c r="E70" i="2" s="1"/>
  <c r="D69" i="2"/>
  <c r="E69" i="2" s="1"/>
  <c r="C65" i="7"/>
  <c r="D65" i="7"/>
  <c r="F35" i="7"/>
  <c r="C35" i="7"/>
  <c r="C9" i="7"/>
  <c r="C8" i="7"/>
  <c r="E8" i="7" s="1"/>
  <c r="C64" i="7"/>
  <c r="D64" i="7"/>
  <c r="C63" i="7"/>
  <c r="D63" i="7"/>
  <c r="C62" i="7"/>
  <c r="D62" i="7" s="1"/>
  <c r="C61" i="7"/>
  <c r="D61" i="7" s="1"/>
  <c r="C60" i="7"/>
  <c r="D60" i="7" s="1"/>
  <c r="C59" i="7"/>
  <c r="D59" i="7" s="1"/>
  <c r="C58" i="7"/>
  <c r="D58" i="7"/>
  <c r="C56" i="7"/>
  <c r="D56" i="7"/>
  <c r="C55" i="7"/>
  <c r="D55" i="7" s="1"/>
  <c r="D54" i="7"/>
  <c r="H49" i="7"/>
  <c r="G49" i="7"/>
  <c r="E49" i="7"/>
  <c r="C49" i="7"/>
  <c r="D49" i="7" s="1"/>
  <c r="F49" i="7" s="1"/>
  <c r="H48" i="7"/>
  <c r="G48" i="7"/>
  <c r="E48" i="7"/>
  <c r="C48" i="7"/>
  <c r="D48" i="7" s="1"/>
  <c r="F48" i="7" s="1"/>
  <c r="H47" i="7"/>
  <c r="G47" i="7"/>
  <c r="I47" i="7" s="1"/>
  <c r="E47" i="7"/>
  <c r="C47" i="7"/>
  <c r="D47" i="7" s="1"/>
  <c r="F47" i="7" s="1"/>
  <c r="H46" i="7"/>
  <c r="G46" i="7"/>
  <c r="E46" i="7"/>
  <c r="C46" i="7"/>
  <c r="D46" i="7" s="1"/>
  <c r="F46" i="7"/>
  <c r="J61" i="7" s="1"/>
  <c r="H45" i="7"/>
  <c r="G45" i="7"/>
  <c r="E45" i="7"/>
  <c r="C45" i="7"/>
  <c r="D45" i="7" s="1"/>
  <c r="F45" i="7" s="1"/>
  <c r="H44" i="7"/>
  <c r="G44" i="7"/>
  <c r="E44" i="7"/>
  <c r="C44" i="7"/>
  <c r="D44" i="7"/>
  <c r="F44" i="7"/>
  <c r="H43" i="7"/>
  <c r="G43" i="7"/>
  <c r="E43" i="7"/>
  <c r="C43" i="7"/>
  <c r="D43" i="7"/>
  <c r="F43" i="7"/>
  <c r="H41" i="7"/>
  <c r="G41" i="7"/>
  <c r="E41" i="7"/>
  <c r="C41" i="7"/>
  <c r="D41" i="7"/>
  <c r="F41" i="7"/>
  <c r="H40" i="7"/>
  <c r="G40" i="7"/>
  <c r="E40" i="7"/>
  <c r="C40" i="7"/>
  <c r="D40" i="7"/>
  <c r="I39" i="7"/>
  <c r="D39" i="7"/>
  <c r="F39" i="7"/>
  <c r="F34" i="7"/>
  <c r="C34" i="7"/>
  <c r="I49" i="7"/>
  <c r="F33" i="7"/>
  <c r="C33" i="7"/>
  <c r="I48" i="7" s="1"/>
  <c r="F32" i="7"/>
  <c r="C32" i="7"/>
  <c r="F31" i="7"/>
  <c r="C31" i="7"/>
  <c r="I46" i="7" s="1"/>
  <c r="F30" i="7"/>
  <c r="C30" i="7"/>
  <c r="I45" i="7" s="1"/>
  <c r="F29" i="7"/>
  <c r="C29" i="7"/>
  <c r="F28" i="7"/>
  <c r="C28" i="7"/>
  <c r="F26" i="7"/>
  <c r="C26" i="7"/>
  <c r="F25" i="7"/>
  <c r="C25" i="7"/>
  <c r="J45" i="6"/>
  <c r="J44" i="6"/>
  <c r="E12" i="6"/>
  <c r="H12" i="6" s="1"/>
  <c r="E8" i="6"/>
  <c r="E10" i="6" s="1"/>
  <c r="E4" i="6"/>
  <c r="J43" i="6"/>
  <c r="J42" i="6"/>
  <c r="J41" i="6"/>
  <c r="J40" i="6"/>
  <c r="J39" i="6"/>
  <c r="J38" i="6"/>
  <c r="J37" i="6"/>
  <c r="J36" i="6"/>
  <c r="J35" i="6"/>
  <c r="J34" i="6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5" i="4"/>
  <c r="A6" i="4" s="1"/>
  <c r="A7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N211" i="4" s="1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N175" i="4" s="1"/>
  <c r="M174" i="4"/>
  <c r="L174" i="4"/>
  <c r="N174" i="4" s="1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N159" i="4" s="1"/>
  <c r="M158" i="4"/>
  <c r="M157" i="4"/>
  <c r="M156" i="4"/>
  <c r="M155" i="4"/>
  <c r="M154" i="4"/>
  <c r="M153" i="4"/>
  <c r="M152" i="4"/>
  <c r="M151" i="4"/>
  <c r="D46" i="2" s="1"/>
  <c r="M150" i="4"/>
  <c r="M149" i="4"/>
  <c r="M148" i="4"/>
  <c r="N148" i="4" s="1"/>
  <c r="M147" i="4"/>
  <c r="M146" i="4"/>
  <c r="M145" i="4"/>
  <c r="M144" i="4"/>
  <c r="M143" i="4"/>
  <c r="M142" i="4"/>
  <c r="M141" i="4"/>
  <c r="M140" i="4"/>
  <c r="M139" i="4"/>
  <c r="M138" i="4"/>
  <c r="M137" i="4"/>
  <c r="M136" i="4"/>
  <c r="N136" i="4" s="1"/>
  <c r="M135" i="4"/>
  <c r="M134" i="4"/>
  <c r="M133" i="4"/>
  <c r="M132" i="4"/>
  <c r="M131" i="4"/>
  <c r="M130" i="4"/>
  <c r="M129" i="4"/>
  <c r="M128" i="4"/>
  <c r="D42" i="2" s="1"/>
  <c r="M127" i="4"/>
  <c r="M126" i="4"/>
  <c r="M125" i="4"/>
  <c r="M124" i="4"/>
  <c r="M123" i="4"/>
  <c r="M122" i="4"/>
  <c r="M121" i="4"/>
  <c r="M120" i="4"/>
  <c r="D44" i="2"/>
  <c r="M119" i="4"/>
  <c r="M118" i="4"/>
  <c r="M117" i="4"/>
  <c r="M116" i="4"/>
  <c r="M115" i="4"/>
  <c r="M114" i="4"/>
  <c r="N114" i="4" s="1"/>
  <c r="M113" i="4"/>
  <c r="M112" i="4"/>
  <c r="M111" i="4"/>
  <c r="M110" i="4"/>
  <c r="M109" i="4"/>
  <c r="M108" i="4"/>
  <c r="D39" i="2" s="1"/>
  <c r="M107" i="4"/>
  <c r="M106" i="4"/>
  <c r="M105" i="4"/>
  <c r="M104" i="4"/>
  <c r="N104" i="4" s="1"/>
  <c r="M103" i="4"/>
  <c r="D45" i="2" s="1"/>
  <c r="M102" i="4"/>
  <c r="M101" i="4"/>
  <c r="M100" i="4"/>
  <c r="M99" i="4"/>
  <c r="M98" i="4"/>
  <c r="M97" i="4"/>
  <c r="M96" i="4"/>
  <c r="M95" i="4"/>
  <c r="M94" i="4"/>
  <c r="M93" i="4"/>
  <c r="N93" i="4" s="1"/>
  <c r="M92" i="4"/>
  <c r="M91" i="4"/>
  <c r="M90" i="4"/>
  <c r="M89" i="4"/>
  <c r="M88" i="4"/>
  <c r="M87" i="4"/>
  <c r="D43" i="2" s="1"/>
  <c r="M86" i="4"/>
  <c r="M85" i="4"/>
  <c r="M84" i="4"/>
  <c r="M83" i="4"/>
  <c r="L83" i="4"/>
  <c r="M82" i="4"/>
  <c r="M81" i="4"/>
  <c r="M80" i="4"/>
  <c r="M79" i="4"/>
  <c r="M78" i="4"/>
  <c r="N78" i="4" s="1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N60" i="4" s="1"/>
  <c r="M59" i="4"/>
  <c r="M58" i="4"/>
  <c r="M57" i="4"/>
  <c r="M56" i="4"/>
  <c r="M55" i="4"/>
  <c r="M54" i="4"/>
  <c r="N54" i="4" s="1"/>
  <c r="M53" i="4"/>
  <c r="M52" i="4"/>
  <c r="M51" i="4"/>
  <c r="M50" i="4"/>
  <c r="M49" i="4"/>
  <c r="M48" i="4"/>
  <c r="D41" i="2" s="1"/>
  <c r="M47" i="4"/>
  <c r="M46" i="4"/>
  <c r="M45" i="4"/>
  <c r="M44" i="4"/>
  <c r="M43" i="4"/>
  <c r="N43" i="4" s="1"/>
  <c r="M42" i="4"/>
  <c r="M41" i="4"/>
  <c r="M40" i="4"/>
  <c r="M39" i="4"/>
  <c r="M38" i="4"/>
  <c r="M37" i="4"/>
  <c r="M36" i="4"/>
  <c r="M35" i="4"/>
  <c r="M34" i="4"/>
  <c r="M33" i="4"/>
  <c r="M32" i="4"/>
  <c r="M31" i="4"/>
  <c r="N31" i="4" s="1"/>
  <c r="L31" i="4"/>
  <c r="M30" i="4"/>
  <c r="M29" i="4"/>
  <c r="M28" i="4"/>
  <c r="N28" i="4" s="1"/>
  <c r="M27" i="4"/>
  <c r="D37" i="2" s="1"/>
  <c r="M26" i="4"/>
  <c r="M25" i="4"/>
  <c r="M24" i="4"/>
  <c r="M23" i="4"/>
  <c r="M22" i="4"/>
  <c r="D38" i="2" s="1"/>
  <c r="M21" i="4"/>
  <c r="M20" i="4"/>
  <c r="M19" i="4"/>
  <c r="M18" i="4"/>
  <c r="M17" i="4"/>
  <c r="M16" i="4"/>
  <c r="M15" i="4"/>
  <c r="M14" i="4"/>
  <c r="M13" i="4"/>
  <c r="M12" i="4"/>
  <c r="M11" i="4"/>
  <c r="N11" i="4" s="1"/>
  <c r="M10" i="4"/>
  <c r="M9" i="4"/>
  <c r="M8" i="4"/>
  <c r="M7" i="4"/>
  <c r="M6" i="4"/>
  <c r="M5" i="4"/>
  <c r="M4" i="4"/>
  <c r="S45" i="3"/>
  <c r="Q45" i="3"/>
  <c r="R45" i="3" s="1"/>
  <c r="P45" i="3"/>
  <c r="O45" i="3"/>
  <c r="N45" i="3"/>
  <c r="L45" i="3"/>
  <c r="K45" i="3"/>
  <c r="S44" i="3"/>
  <c r="Q44" i="3"/>
  <c r="R44" i="3" s="1"/>
  <c r="T44" i="3" s="1"/>
  <c r="U44" i="3" s="1"/>
  <c r="P44" i="3"/>
  <c r="O44" i="3"/>
  <c r="N44" i="3"/>
  <c r="L44" i="3"/>
  <c r="K44" i="3"/>
  <c r="M44" i="3"/>
  <c r="S43" i="3"/>
  <c r="Q43" i="3"/>
  <c r="R43" i="3" s="1"/>
  <c r="P43" i="3"/>
  <c r="O43" i="3"/>
  <c r="N43" i="3"/>
  <c r="L43" i="3"/>
  <c r="K43" i="3"/>
  <c r="S42" i="3"/>
  <c r="Q42" i="3"/>
  <c r="R42" i="3"/>
  <c r="P42" i="3"/>
  <c r="O42" i="3"/>
  <c r="N42" i="3"/>
  <c r="T42" i="3"/>
  <c r="L42" i="3"/>
  <c r="M42" i="3" s="1"/>
  <c r="K42" i="3"/>
  <c r="S41" i="3"/>
  <c r="Q41" i="3"/>
  <c r="R41" i="3" s="1"/>
  <c r="P41" i="3"/>
  <c r="O41" i="3"/>
  <c r="N41" i="3"/>
  <c r="T41" i="3"/>
  <c r="L41" i="3"/>
  <c r="K41" i="3"/>
  <c r="S40" i="3"/>
  <c r="Q40" i="3"/>
  <c r="R40" i="3"/>
  <c r="T40" i="3" s="1"/>
  <c r="U40" i="3" s="1"/>
  <c r="P40" i="3"/>
  <c r="O40" i="3"/>
  <c r="N40" i="3"/>
  <c r="L40" i="3"/>
  <c r="K40" i="3"/>
  <c r="M40" i="3"/>
  <c r="S39" i="3"/>
  <c r="Q39" i="3"/>
  <c r="R39" i="3"/>
  <c r="P39" i="3"/>
  <c r="O39" i="3"/>
  <c r="N39" i="3"/>
  <c r="T39" i="3" s="1"/>
  <c r="U39" i="3" s="1"/>
  <c r="L39" i="3"/>
  <c r="M39" i="3"/>
  <c r="K39" i="3"/>
  <c r="S38" i="3"/>
  <c r="Q38" i="3"/>
  <c r="R38" i="3"/>
  <c r="P38" i="3"/>
  <c r="O38" i="3"/>
  <c r="N38" i="3"/>
  <c r="L38" i="3"/>
  <c r="K38" i="3"/>
  <c r="M38" i="3"/>
  <c r="S37" i="3"/>
  <c r="Q37" i="3"/>
  <c r="R37" i="3" s="1"/>
  <c r="P37" i="3"/>
  <c r="O37" i="3"/>
  <c r="N37" i="3"/>
  <c r="L37" i="3"/>
  <c r="M37" i="3" s="1"/>
  <c r="K37" i="3"/>
  <c r="S36" i="3"/>
  <c r="Q36" i="3"/>
  <c r="P36" i="3"/>
  <c r="O36" i="3"/>
  <c r="N36" i="3"/>
  <c r="L36" i="3"/>
  <c r="K36" i="3"/>
  <c r="S35" i="3"/>
  <c r="Q35" i="3"/>
  <c r="P35" i="3"/>
  <c r="O35" i="3"/>
  <c r="N35" i="3"/>
  <c r="L35" i="3"/>
  <c r="M35" i="3" s="1"/>
  <c r="K35" i="3"/>
  <c r="S34" i="3"/>
  <c r="Q34" i="3"/>
  <c r="R34" i="3" s="1"/>
  <c r="P34" i="3"/>
  <c r="O34" i="3"/>
  <c r="N34" i="3"/>
  <c r="L34" i="3"/>
  <c r="M34" i="3" s="1"/>
  <c r="K34" i="3"/>
  <c r="S33" i="3"/>
  <c r="Q33" i="3"/>
  <c r="R33" i="3"/>
  <c r="T33" i="3" s="1"/>
  <c r="U33" i="3" s="1"/>
  <c r="P33" i="3"/>
  <c r="O33" i="3"/>
  <c r="N33" i="3"/>
  <c r="L33" i="3"/>
  <c r="K33" i="3"/>
  <c r="M33" i="3"/>
  <c r="S32" i="3"/>
  <c r="Q32" i="3"/>
  <c r="R32" i="3"/>
  <c r="P32" i="3"/>
  <c r="O32" i="3"/>
  <c r="N32" i="3"/>
  <c r="T32" i="3" s="1"/>
  <c r="U32" i="3" s="1"/>
  <c r="L32" i="3"/>
  <c r="M32" i="3" s="1"/>
  <c r="K32" i="3"/>
  <c r="S31" i="3"/>
  <c r="Q31" i="3"/>
  <c r="R31" i="3"/>
  <c r="P31" i="3"/>
  <c r="O31" i="3"/>
  <c r="N31" i="3"/>
  <c r="L31" i="3"/>
  <c r="K31" i="3"/>
  <c r="S30" i="3"/>
  <c r="Q30" i="3"/>
  <c r="R30" i="3" s="1"/>
  <c r="P30" i="3"/>
  <c r="O30" i="3"/>
  <c r="T30" i="3" s="1"/>
  <c r="U30" i="3" s="1"/>
  <c r="N30" i="3"/>
  <c r="L30" i="3"/>
  <c r="K30" i="3"/>
  <c r="S29" i="3"/>
  <c r="Q29" i="3"/>
  <c r="R29" i="3" s="1"/>
  <c r="P29" i="3"/>
  <c r="O29" i="3"/>
  <c r="N29" i="3"/>
  <c r="L29" i="3"/>
  <c r="K29" i="3"/>
  <c r="M29" i="3"/>
  <c r="S28" i="3"/>
  <c r="Q28" i="3"/>
  <c r="R28" i="3" s="1"/>
  <c r="T28" i="3" s="1"/>
  <c r="U28" i="3" s="1"/>
  <c r="P28" i="3"/>
  <c r="O28" i="3"/>
  <c r="N28" i="3"/>
  <c r="L28" i="3"/>
  <c r="M28" i="3" s="1"/>
  <c r="K28" i="3"/>
  <c r="S27" i="3"/>
  <c r="Q27" i="3"/>
  <c r="R27" i="3"/>
  <c r="T27" i="3" s="1"/>
  <c r="P27" i="3"/>
  <c r="O27" i="3"/>
  <c r="N27" i="3"/>
  <c r="L27" i="3"/>
  <c r="M27" i="3"/>
  <c r="U27" i="3" s="1"/>
  <c r="K27" i="3"/>
  <c r="S26" i="3"/>
  <c r="Q26" i="3"/>
  <c r="R26" i="3"/>
  <c r="P26" i="3"/>
  <c r="O26" i="3"/>
  <c r="T26" i="3"/>
  <c r="N26" i="3"/>
  <c r="L26" i="3"/>
  <c r="K26" i="3"/>
  <c r="S25" i="3"/>
  <c r="Q25" i="3"/>
  <c r="R25" i="3" s="1"/>
  <c r="P25" i="3"/>
  <c r="O25" i="3"/>
  <c r="N25" i="3"/>
  <c r="L25" i="3"/>
  <c r="K25" i="3"/>
  <c r="M25" i="3" s="1"/>
  <c r="S24" i="3"/>
  <c r="Q24" i="3"/>
  <c r="R24" i="3"/>
  <c r="P24" i="3"/>
  <c r="O24" i="3"/>
  <c r="N24" i="3"/>
  <c r="L24" i="3"/>
  <c r="K24" i="3"/>
  <c r="M24" i="3"/>
  <c r="S23" i="3"/>
  <c r="Q23" i="3"/>
  <c r="R23" i="3" s="1"/>
  <c r="T23" i="3" s="1"/>
  <c r="P23" i="3"/>
  <c r="O23" i="3"/>
  <c r="N23" i="3"/>
  <c r="L23" i="3"/>
  <c r="K23" i="3"/>
  <c r="M23" i="3" s="1"/>
  <c r="S22" i="3"/>
  <c r="T22" i="3" s="1"/>
  <c r="Q22" i="3"/>
  <c r="P22" i="3"/>
  <c r="O22" i="3"/>
  <c r="N22" i="3"/>
  <c r="L22" i="3"/>
  <c r="K22" i="3"/>
  <c r="M22" i="3" s="1"/>
  <c r="U22" i="3" s="1"/>
  <c r="S21" i="3"/>
  <c r="Q21" i="3"/>
  <c r="R21" i="3" s="1"/>
  <c r="P21" i="3"/>
  <c r="O21" i="3"/>
  <c r="T21" i="3" s="1"/>
  <c r="N21" i="3"/>
  <c r="L21" i="3"/>
  <c r="K21" i="3"/>
  <c r="S20" i="3"/>
  <c r="Q20" i="3"/>
  <c r="R20" i="3" s="1"/>
  <c r="P20" i="3"/>
  <c r="O20" i="3"/>
  <c r="N20" i="3"/>
  <c r="L20" i="3"/>
  <c r="K20" i="3"/>
  <c r="M20" i="3" s="1"/>
  <c r="S19" i="3"/>
  <c r="Q19" i="3"/>
  <c r="R19" i="3" s="1"/>
  <c r="P19" i="3"/>
  <c r="O19" i="3"/>
  <c r="T19" i="3" s="1"/>
  <c r="N19" i="3"/>
  <c r="L19" i="3"/>
  <c r="K19" i="3"/>
  <c r="S18" i="3"/>
  <c r="Q18" i="3"/>
  <c r="R18" i="3" s="1"/>
  <c r="P18" i="3"/>
  <c r="O18" i="3"/>
  <c r="N18" i="3"/>
  <c r="T18" i="3"/>
  <c r="L18" i="3"/>
  <c r="K18" i="3"/>
  <c r="M18" i="3" s="1"/>
  <c r="S17" i="3"/>
  <c r="Q17" i="3"/>
  <c r="R17" i="3"/>
  <c r="P17" i="3"/>
  <c r="O17" i="3"/>
  <c r="N17" i="3"/>
  <c r="L17" i="3"/>
  <c r="K17" i="3"/>
  <c r="M17" i="3"/>
  <c r="S16" i="3"/>
  <c r="Q16" i="3"/>
  <c r="R16" i="3"/>
  <c r="P16" i="3"/>
  <c r="O16" i="3"/>
  <c r="N16" i="3"/>
  <c r="L16" i="3"/>
  <c r="K16" i="3"/>
  <c r="M16" i="3" s="1"/>
  <c r="S15" i="3"/>
  <c r="Q15" i="3"/>
  <c r="R15" i="3" s="1"/>
  <c r="P15" i="3"/>
  <c r="O15" i="3"/>
  <c r="N15" i="3"/>
  <c r="L15" i="3"/>
  <c r="K15" i="3"/>
  <c r="M15" i="3" s="1"/>
  <c r="S14" i="3"/>
  <c r="Q14" i="3"/>
  <c r="R14" i="3"/>
  <c r="P14" i="3"/>
  <c r="O14" i="3"/>
  <c r="N14" i="3"/>
  <c r="L14" i="3"/>
  <c r="K14" i="3"/>
  <c r="S13" i="3"/>
  <c r="Q13" i="3"/>
  <c r="P13" i="3"/>
  <c r="O13" i="3"/>
  <c r="N13" i="3"/>
  <c r="L13" i="3"/>
  <c r="M13" i="3" s="1"/>
  <c r="K13" i="3"/>
  <c r="S12" i="3"/>
  <c r="Q12" i="3"/>
  <c r="R12" i="3" s="1"/>
  <c r="P12" i="3"/>
  <c r="O12" i="3"/>
  <c r="N12" i="3"/>
  <c r="L12" i="3"/>
  <c r="M12" i="3" s="1"/>
  <c r="K12" i="3"/>
  <c r="S11" i="3"/>
  <c r="Q11" i="3"/>
  <c r="R11" i="3"/>
  <c r="P11" i="3"/>
  <c r="O11" i="3"/>
  <c r="N11" i="3"/>
  <c r="L11" i="3"/>
  <c r="K11" i="3"/>
  <c r="M11" i="3"/>
  <c r="S10" i="3"/>
  <c r="Q10" i="3"/>
  <c r="R10" i="3" s="1"/>
  <c r="P10" i="3"/>
  <c r="O10" i="3"/>
  <c r="N10" i="3"/>
  <c r="L10" i="3"/>
  <c r="K10" i="3"/>
  <c r="S9" i="3"/>
  <c r="Q9" i="3"/>
  <c r="R9" i="3"/>
  <c r="P9" i="3"/>
  <c r="O9" i="3"/>
  <c r="N9" i="3"/>
  <c r="T9" i="3" s="1"/>
  <c r="D14" i="2" s="1"/>
  <c r="L9" i="3"/>
  <c r="K9" i="3"/>
  <c r="M9" i="3" s="1"/>
  <c r="S8" i="3"/>
  <c r="Q8" i="3"/>
  <c r="R8" i="3"/>
  <c r="P8" i="3"/>
  <c r="T8" i="3" s="1"/>
  <c r="D15" i="2" s="1"/>
  <c r="O8" i="3"/>
  <c r="N8" i="3"/>
  <c r="L8" i="3"/>
  <c r="K8" i="3"/>
  <c r="M8" i="3"/>
  <c r="C15" i="2"/>
  <c r="S7" i="3"/>
  <c r="Q7" i="3"/>
  <c r="R7" i="3"/>
  <c r="P7" i="3"/>
  <c r="O7" i="3"/>
  <c r="N7" i="3"/>
  <c r="T7" i="3" s="1"/>
  <c r="L7" i="3"/>
  <c r="K7" i="3"/>
  <c r="S6" i="3"/>
  <c r="Q6" i="3"/>
  <c r="R6" i="3"/>
  <c r="P6" i="3"/>
  <c r="O6" i="3"/>
  <c r="N6" i="3"/>
  <c r="L6" i="3"/>
  <c r="K6" i="3"/>
  <c r="C22" i="1"/>
  <c r="C23" i="1" s="1"/>
  <c r="D22" i="1"/>
  <c r="D23" i="1" s="1"/>
  <c r="E22" i="1"/>
  <c r="E23" i="1"/>
  <c r="F22" i="1"/>
  <c r="F23" i="1" s="1"/>
  <c r="G22" i="1"/>
  <c r="G23" i="1"/>
  <c r="H22" i="1"/>
  <c r="H23" i="1"/>
  <c r="I22" i="1"/>
  <c r="I23" i="1" s="1"/>
  <c r="J22" i="1"/>
  <c r="J23" i="1" s="1"/>
  <c r="K22" i="1"/>
  <c r="K23" i="1"/>
  <c r="L22" i="1"/>
  <c r="L23" i="1" s="1"/>
  <c r="M22" i="1"/>
  <c r="M23" i="1"/>
  <c r="N22" i="1"/>
  <c r="N23" i="1"/>
  <c r="S22" i="1"/>
  <c r="S23" i="1" s="1"/>
  <c r="T22" i="1"/>
  <c r="T23" i="1" s="1"/>
  <c r="W22" i="1"/>
  <c r="W23" i="1"/>
  <c r="X22" i="1"/>
  <c r="X23" i="1" s="1"/>
  <c r="Z22" i="1"/>
  <c r="Z23" i="1"/>
  <c r="AA22" i="1"/>
  <c r="AA23" i="1"/>
  <c r="AD22" i="1"/>
  <c r="AD23" i="1" s="1"/>
  <c r="AE22" i="1"/>
  <c r="AE23" i="1" s="1"/>
  <c r="AF22" i="1"/>
  <c r="AF23" i="1"/>
  <c r="AG22" i="1"/>
  <c r="AG23" i="1" s="1"/>
  <c r="AH22" i="1"/>
  <c r="AH23" i="1"/>
  <c r="AI22" i="1"/>
  <c r="AI23" i="1"/>
  <c r="AJ22" i="1"/>
  <c r="AJ23" i="1" s="1"/>
  <c r="AK22" i="1"/>
  <c r="AK23" i="1" s="1"/>
  <c r="AL22" i="1"/>
  <c r="AL23" i="1"/>
  <c r="AC22" i="1"/>
  <c r="AC23" i="1" s="1"/>
  <c r="M45" i="3"/>
  <c r="M21" i="3"/>
  <c r="M36" i="3"/>
  <c r="T45" i="3"/>
  <c r="U45" i="3" s="1"/>
  <c r="D48" i="2"/>
  <c r="D47" i="2"/>
  <c r="L219" i="4"/>
  <c r="N219" i="4"/>
  <c r="L157" i="4"/>
  <c r="N157" i="4" s="1"/>
  <c r="L104" i="4"/>
  <c r="L220" i="4"/>
  <c r="N220" i="4" s="1"/>
  <c r="L168" i="4"/>
  <c r="N168" i="4" s="1"/>
  <c r="L121" i="4"/>
  <c r="N121" i="4" s="1"/>
  <c r="L69" i="4"/>
  <c r="N69" i="4"/>
  <c r="L9" i="4"/>
  <c r="N9" i="4"/>
  <c r="B44" i="6"/>
  <c r="R22" i="3"/>
  <c r="R36" i="3"/>
  <c r="T36" i="3"/>
  <c r="T6" i="3"/>
  <c r="D16" i="2" s="1"/>
  <c r="D40" i="2"/>
  <c r="I43" i="7"/>
  <c r="F40" i="7"/>
  <c r="I41" i="7"/>
  <c r="I40" i="7"/>
  <c r="C10" i="11"/>
  <c r="L81" i="4"/>
  <c r="N81" i="4"/>
  <c r="L184" i="4"/>
  <c r="N184" i="4" s="1"/>
  <c r="L232" i="4"/>
  <c r="N232" i="4"/>
  <c r="L60" i="4"/>
  <c r="L120" i="4"/>
  <c r="L175" i="4"/>
  <c r="L11" i="4"/>
  <c r="L39" i="4"/>
  <c r="N39" i="4" s="1"/>
  <c r="L150" i="4"/>
  <c r="N150" i="4" s="1"/>
  <c r="L16" i="4"/>
  <c r="N16" i="4" s="1"/>
  <c r="L76" i="4"/>
  <c r="N76" i="4"/>
  <c r="L129" i="4"/>
  <c r="N129" i="4"/>
  <c r="L191" i="4"/>
  <c r="N191" i="4" s="1"/>
  <c r="K23" i="2"/>
  <c r="L222" i="4"/>
  <c r="N222" i="4" s="1"/>
  <c r="L210" i="4"/>
  <c r="N210" i="4"/>
  <c r="L202" i="4"/>
  <c r="L194" i="4"/>
  <c r="N194" i="4" s="1"/>
  <c r="L186" i="4"/>
  <c r="N186" i="4" s="1"/>
  <c r="L178" i="4"/>
  <c r="N178" i="4"/>
  <c r="L169" i="4"/>
  <c r="N169" i="4" s="1"/>
  <c r="L159" i="4"/>
  <c r="L148" i="4"/>
  <c r="L140" i="4"/>
  <c r="N140" i="4" s="1"/>
  <c r="L132" i="4"/>
  <c r="N132" i="4" s="1"/>
  <c r="L126" i="4"/>
  <c r="N126" i="4"/>
  <c r="L115" i="4"/>
  <c r="N115" i="4" s="1"/>
  <c r="L106" i="4"/>
  <c r="L103" i="4"/>
  <c r="N103" i="4"/>
  <c r="L95" i="4"/>
  <c r="N95" i="4" s="1"/>
  <c r="L86" i="4"/>
  <c r="N86" i="4" s="1"/>
  <c r="L78" i="4"/>
  <c r="L70" i="4"/>
  <c r="L62" i="4"/>
  <c r="N62" i="4"/>
  <c r="L54" i="4"/>
  <c r="L234" i="4"/>
  <c r="N234" i="4" s="1"/>
  <c r="L218" i="4"/>
  <c r="N218" i="4" s="1"/>
  <c r="L213" i="4"/>
  <c r="N213" i="4"/>
  <c r="L205" i="4"/>
  <c r="N205" i="4" s="1"/>
  <c r="L197" i="4"/>
  <c r="L189" i="4"/>
  <c r="N189" i="4"/>
  <c r="L181" i="4"/>
  <c r="N181" i="4" s="1"/>
  <c r="L170" i="4"/>
  <c r="N170" i="4" s="1"/>
  <c r="L160" i="4"/>
  <c r="N160" i="4"/>
  <c r="L152" i="4"/>
  <c r="N152" i="4" s="1"/>
  <c r="L151" i="4"/>
  <c r="L143" i="4"/>
  <c r="N143" i="4" s="1"/>
  <c r="L135" i="4"/>
  <c r="N135" i="4"/>
  <c r="L127" i="4"/>
  <c r="N127" i="4"/>
  <c r="L118" i="4"/>
  <c r="L110" i="4"/>
  <c r="N110" i="4"/>
  <c r="L107" i="4"/>
  <c r="N107" i="4" s="1"/>
  <c r="L98" i="4"/>
  <c r="N98" i="4" s="1"/>
  <c r="L90" i="4"/>
  <c r="N90" i="4"/>
  <c r="L87" i="4"/>
  <c r="C43" i="2"/>
  <c r="E43" i="2" s="1"/>
  <c r="L79" i="4"/>
  <c r="N79" i="4"/>
  <c r="L71" i="4"/>
  <c r="N71" i="4" s="1"/>
  <c r="L63" i="4"/>
  <c r="N63" i="4"/>
  <c r="L55" i="4"/>
  <c r="N55" i="4"/>
  <c r="L46" i="4"/>
  <c r="L230" i="4"/>
  <c r="N230" i="4" s="1"/>
  <c r="L214" i="4"/>
  <c r="N214" i="4"/>
  <c r="L206" i="4"/>
  <c r="N206" i="4" s="1"/>
  <c r="L198" i="4"/>
  <c r="N198" i="4"/>
  <c r="L190" i="4"/>
  <c r="L182" i="4"/>
  <c r="N182" i="4" s="1"/>
  <c r="L173" i="4"/>
  <c r="L163" i="4"/>
  <c r="N163" i="4"/>
  <c r="L155" i="4"/>
  <c r="N155" i="4" s="1"/>
  <c r="L144" i="4"/>
  <c r="N144" i="4"/>
  <c r="L136" i="4"/>
  <c r="L122" i="4"/>
  <c r="N122" i="4" s="1"/>
  <c r="L119" i="4"/>
  <c r="N119" i="4" s="1"/>
  <c r="L111" i="4"/>
  <c r="N111" i="4"/>
  <c r="L99" i="4"/>
  <c r="N99" i="4" s="1"/>
  <c r="L91" i="4"/>
  <c r="N91" i="4"/>
  <c r="L82" i="4"/>
  <c r="L74" i="4"/>
  <c r="N74" i="4" s="1"/>
  <c r="L66" i="4"/>
  <c r="N66" i="4" s="1"/>
  <c r="L58" i="4"/>
  <c r="N58" i="4"/>
  <c r="L50" i="4"/>
  <c r="N50" i="4" s="1"/>
  <c r="L47" i="4"/>
  <c r="N47" i="4"/>
  <c r="L209" i="4"/>
  <c r="L177" i="4"/>
  <c r="N177" i="4" s="1"/>
  <c r="L164" i="4"/>
  <c r="N164" i="4" s="1"/>
  <c r="L147" i="4"/>
  <c r="N147" i="4"/>
  <c r="L123" i="4"/>
  <c r="N123" i="4" s="1"/>
  <c r="L114" i="4"/>
  <c r="L94" i="4"/>
  <c r="L75" i="4"/>
  <c r="N75" i="4" s="1"/>
  <c r="L42" i="4"/>
  <c r="N42" i="4" s="1"/>
  <c r="L34" i="4"/>
  <c r="N34" i="4"/>
  <c r="L23" i="4"/>
  <c r="N23" i="4" s="1"/>
  <c r="L22" i="4"/>
  <c r="L14" i="4"/>
  <c r="N14" i="4" s="1"/>
  <c r="L6" i="4"/>
  <c r="N6" i="4"/>
  <c r="L231" i="4"/>
  <c r="N231" i="4"/>
  <c r="L215" i="4"/>
  <c r="N215" i="4"/>
  <c r="L187" i="4"/>
  <c r="N187" i="4"/>
  <c r="L171" i="4"/>
  <c r="N171" i="4" s="1"/>
  <c r="L141" i="4"/>
  <c r="N141" i="4" s="1"/>
  <c r="L128" i="4"/>
  <c r="N128" i="4"/>
  <c r="L116" i="4"/>
  <c r="N116" i="4"/>
  <c r="L100" i="4"/>
  <c r="N100" i="4"/>
  <c r="L88" i="4"/>
  <c r="N88" i="4"/>
  <c r="L72" i="4"/>
  <c r="L56" i="4"/>
  <c r="N56" i="4" s="1"/>
  <c r="L44" i="4"/>
  <c r="N44" i="4"/>
  <c r="L28" i="4"/>
  <c r="L12" i="4"/>
  <c r="N12" i="4"/>
  <c r="L228" i="4"/>
  <c r="N228" i="4"/>
  <c r="L204" i="4"/>
  <c r="N204" i="4" s="1"/>
  <c r="L192" i="4"/>
  <c r="N192" i="4" s="1"/>
  <c r="L180" i="4"/>
  <c r="N180" i="4"/>
  <c r="L167" i="4"/>
  <c r="L146" i="4"/>
  <c r="N146" i="4" s="1"/>
  <c r="L134" i="4"/>
  <c r="N134" i="4"/>
  <c r="L117" i="4"/>
  <c r="N117" i="4" s="1"/>
  <c r="L93" i="4"/>
  <c r="L77" i="4"/>
  <c r="L65" i="4"/>
  <c r="L49" i="4"/>
  <c r="N49" i="4" s="1"/>
  <c r="L37" i="4"/>
  <c r="N37" i="4"/>
  <c r="L21" i="4"/>
  <c r="N21" i="4"/>
  <c r="L225" i="4"/>
  <c r="N225" i="4"/>
  <c r="L226" i="4"/>
  <c r="L201" i="4"/>
  <c r="N201" i="4" s="1"/>
  <c r="L156" i="4"/>
  <c r="N156" i="4" s="1"/>
  <c r="L139" i="4"/>
  <c r="N139" i="4"/>
  <c r="L67" i="4"/>
  <c r="N67" i="4" s="1"/>
  <c r="L43" i="4"/>
  <c r="L35" i="4"/>
  <c r="N35" i="4" s="1"/>
  <c r="L26" i="4"/>
  <c r="N26" i="4" s="1"/>
  <c r="L15" i="4"/>
  <c r="N15" i="4" s="1"/>
  <c r="L7" i="4"/>
  <c r="N7" i="4"/>
  <c r="L227" i="4"/>
  <c r="N227" i="4"/>
  <c r="L211" i="4"/>
  <c r="L199" i="4"/>
  <c r="N199" i="4" s="1"/>
  <c r="L183" i="4"/>
  <c r="N183" i="4" s="1"/>
  <c r="L165" i="4"/>
  <c r="N165" i="4" s="1"/>
  <c r="L153" i="4"/>
  <c r="N153" i="4" s="1"/>
  <c r="L137" i="4"/>
  <c r="N137" i="4" s="1"/>
  <c r="L112" i="4"/>
  <c r="N112" i="4"/>
  <c r="L96" i="4"/>
  <c r="N96" i="4" s="1"/>
  <c r="L84" i="4"/>
  <c r="N84" i="4" s="1"/>
  <c r="L68" i="4"/>
  <c r="N68" i="4" s="1"/>
  <c r="L52" i="4"/>
  <c r="N52" i="4" s="1"/>
  <c r="L40" i="4"/>
  <c r="N40" i="4"/>
  <c r="L24" i="4"/>
  <c r="N24" i="4"/>
  <c r="L8" i="4"/>
  <c r="N8" i="4" s="1"/>
  <c r="L216" i="4"/>
  <c r="N216" i="4" s="1"/>
  <c r="L200" i="4"/>
  <c r="N200" i="4" s="1"/>
  <c r="L188" i="4"/>
  <c r="N188" i="4"/>
  <c r="L176" i="4"/>
  <c r="N176" i="4"/>
  <c r="L158" i="4"/>
  <c r="N158" i="4"/>
  <c r="L142" i="4"/>
  <c r="L130" i="4"/>
  <c r="L113" i="4"/>
  <c r="N113" i="4" s="1"/>
  <c r="L101" i="4"/>
  <c r="L89" i="4"/>
  <c r="N89" i="4"/>
  <c r="L73" i="4"/>
  <c r="N73" i="4"/>
  <c r="L61" i="4"/>
  <c r="N61" i="4" s="1"/>
  <c r="L45" i="4"/>
  <c r="N45" i="4" s="1"/>
  <c r="L33" i="4"/>
  <c r="N33" i="4" s="1"/>
  <c r="L17" i="4"/>
  <c r="L5" i="4"/>
  <c r="L221" i="4"/>
  <c r="N221" i="4"/>
  <c r="L193" i="4"/>
  <c r="N193" i="4" s="1"/>
  <c r="L131" i="4"/>
  <c r="N131" i="4" s="1"/>
  <c r="L59" i="4"/>
  <c r="N59" i="4" s="1"/>
  <c r="L38" i="4"/>
  <c r="N38" i="4" s="1"/>
  <c r="L30" i="4"/>
  <c r="N30" i="4" s="1"/>
  <c r="L27" i="4"/>
  <c r="C37" i="2"/>
  <c r="L18" i="4"/>
  <c r="N18" i="4" s="1"/>
  <c r="L10" i="4"/>
  <c r="N10" i="4" s="1"/>
  <c r="L235" i="4"/>
  <c r="N235" i="4"/>
  <c r="L223" i="4"/>
  <c r="N223" i="4"/>
  <c r="L207" i="4"/>
  <c r="N207" i="4"/>
  <c r="L195" i="4"/>
  <c r="N195" i="4" s="1"/>
  <c r="L179" i="4"/>
  <c r="N179" i="4" s="1"/>
  <c r="L161" i="4"/>
  <c r="N161" i="4"/>
  <c r="L149" i="4"/>
  <c r="N149" i="4"/>
  <c r="L133" i="4"/>
  <c r="N133" i="4" s="1"/>
  <c r="L124" i="4"/>
  <c r="N124" i="4" s="1"/>
  <c r="L108" i="4"/>
  <c r="N108" i="4" s="1"/>
  <c r="L92" i="4"/>
  <c r="N92" i="4"/>
  <c r="L80" i="4"/>
  <c r="N80" i="4"/>
  <c r="L64" i="4"/>
  <c r="N64" i="4" s="1"/>
  <c r="L48" i="4"/>
  <c r="C41" i="2" s="1"/>
  <c r="L36" i="4"/>
  <c r="N36" i="4" s="1"/>
  <c r="L20" i="4"/>
  <c r="N20" i="4"/>
  <c r="L4" i="4"/>
  <c r="N4" i="4" s="1"/>
  <c r="L224" i="4"/>
  <c r="N224" i="4" s="1"/>
  <c r="L212" i="4"/>
  <c r="N212" i="4" s="1"/>
  <c r="L196" i="4"/>
  <c r="N196" i="4"/>
  <c r="L172" i="4"/>
  <c r="N172" i="4"/>
  <c r="L166" i="4"/>
  <c r="N166" i="4" s="1"/>
  <c r="L154" i="4"/>
  <c r="L138" i="4"/>
  <c r="N138" i="4"/>
  <c r="L125" i="4"/>
  <c r="N125" i="4"/>
  <c r="L109" i="4"/>
  <c r="N109" i="4"/>
  <c r="L97" i="4"/>
  <c r="N97" i="4" s="1"/>
  <c r="L85" i="4"/>
  <c r="N85" i="4" s="1"/>
  <c r="L57" i="4"/>
  <c r="N57" i="4"/>
  <c r="L41" i="4"/>
  <c r="N41" i="4"/>
  <c r="L29" i="4"/>
  <c r="N29" i="4"/>
  <c r="L13" i="4"/>
  <c r="N13" i="4"/>
  <c r="L233" i="4"/>
  <c r="N233" i="4" s="1"/>
  <c r="L217" i="4"/>
  <c r="N217" i="4"/>
  <c r="L25" i="4"/>
  <c r="N25" i="4"/>
  <c r="L229" i="4"/>
  <c r="N229" i="4"/>
  <c r="L53" i="4"/>
  <c r="N53" i="4"/>
  <c r="L105" i="4"/>
  <c r="N105" i="4"/>
  <c r="L162" i="4"/>
  <c r="N162" i="4" s="1"/>
  <c r="L208" i="4"/>
  <c r="N208" i="4"/>
  <c r="L32" i="4"/>
  <c r="N32" i="4"/>
  <c r="L145" i="4"/>
  <c r="N145" i="4"/>
  <c r="L203" i="4"/>
  <c r="N203" i="4"/>
  <c r="N27" i="4"/>
  <c r="L51" i="4"/>
  <c r="N51" i="4" s="1"/>
  <c r="L102" i="4"/>
  <c r="N102" i="4" s="1"/>
  <c r="L185" i="4"/>
  <c r="N185" i="4"/>
  <c r="E24" i="7"/>
  <c r="E32" i="7" s="1"/>
  <c r="E29" i="7"/>
  <c r="C46" i="2"/>
  <c r="N151" i="4"/>
  <c r="E31" i="7"/>
  <c r="E25" i="7"/>
  <c r="N22" i="4"/>
  <c r="C38" i="2"/>
  <c r="E38" i="2"/>
  <c r="U8" i="3"/>
  <c r="E30" i="7"/>
  <c r="E34" i="7"/>
  <c r="E33" i="7"/>
  <c r="N167" i="4"/>
  <c r="C48" i="2"/>
  <c r="E48" i="2" s="1"/>
  <c r="E87" i="2" s="1"/>
  <c r="F87" i="2" s="1"/>
  <c r="C47" i="2"/>
  <c r="N87" i="4"/>
  <c r="E28" i="7"/>
  <c r="E27" i="7"/>
  <c r="C42" i="2"/>
  <c r="E26" i="7"/>
  <c r="C45" i="2"/>
  <c r="E45" i="2"/>
  <c r="M91" i="2"/>
  <c r="D11" i="11"/>
  <c r="B22" i="6"/>
  <c r="N53" i="2"/>
  <c r="G34" i="6"/>
  <c r="G36" i="6"/>
  <c r="G29" i="6"/>
  <c r="E41" i="6"/>
  <c r="C40" i="2"/>
  <c r="E40" i="2" s="1"/>
  <c r="C44" i="2"/>
  <c r="E44" i="2" s="1"/>
  <c r="N120" i="4"/>
  <c r="U21" i="3"/>
  <c r="U17" i="3"/>
  <c r="E11" i="6"/>
  <c r="U36" i="3"/>
  <c r="T10" i="3"/>
  <c r="U10" i="3" s="1"/>
  <c r="T11" i="3"/>
  <c r="U11" i="3" s="1"/>
  <c r="T14" i="3"/>
  <c r="T16" i="3"/>
  <c r="U16" i="3"/>
  <c r="T17" i="3"/>
  <c r="T20" i="3"/>
  <c r="U20" i="3" s="1"/>
  <c r="T38" i="3"/>
  <c r="U38" i="3"/>
  <c r="M6" i="3"/>
  <c r="M10" i="3"/>
  <c r="M14" i="3"/>
  <c r="U14" i="3"/>
  <c r="M26" i="3"/>
  <c r="U26" i="3" s="1"/>
  <c r="M30" i="3"/>
  <c r="I30" i="6"/>
  <c r="B41" i="6"/>
  <c r="B26" i="7"/>
  <c r="F56" i="7"/>
  <c r="E9" i="6"/>
  <c r="H9" i="6" s="1"/>
  <c r="I21" i="6"/>
  <c r="I20" i="6"/>
  <c r="E46" i="2"/>
  <c r="I25" i="6"/>
  <c r="K25" i="6"/>
  <c r="G25" i="6"/>
  <c r="C36" i="6"/>
  <c r="E40" i="6"/>
  <c r="E38" i="6"/>
  <c r="E39" i="6"/>
  <c r="K27" i="6"/>
  <c r="C35" i="6"/>
  <c r="J30" i="6"/>
  <c r="K30" i="6"/>
  <c r="K82" i="2"/>
  <c r="H9" i="11"/>
  <c r="G59" i="7"/>
  <c r="I59" i="7"/>
  <c r="G57" i="7"/>
  <c r="I57" i="7"/>
  <c r="J57" i="7" s="1"/>
  <c r="E34" i="6"/>
  <c r="E37" i="6"/>
  <c r="E36" i="6"/>
  <c r="F11" i="7"/>
  <c r="E35" i="6"/>
  <c r="E47" i="2"/>
  <c r="J25" i="6"/>
  <c r="G28" i="6"/>
  <c r="G20" i="6"/>
  <c r="B20" i="6"/>
  <c r="B35" i="6"/>
  <c r="C26" i="6"/>
  <c r="E26" i="6" s="1"/>
  <c r="H41" i="6" s="1"/>
  <c r="G10" i="6"/>
  <c r="G8" i="6"/>
  <c r="J8" i="6" s="1"/>
  <c r="G11" i="6"/>
  <c r="G13" i="6"/>
  <c r="G14" i="6"/>
  <c r="G12" i="6"/>
  <c r="J12" i="6"/>
  <c r="G5" i="6"/>
  <c r="G9" i="6"/>
  <c r="J9" i="6" s="1"/>
  <c r="G7" i="6"/>
  <c r="G15" i="6"/>
  <c r="G6" i="6"/>
  <c r="K9" i="7"/>
  <c r="M9" i="7" s="1"/>
  <c r="H25" i="7" s="1"/>
  <c r="L38" i="2"/>
  <c r="D5" i="9"/>
  <c r="D9" i="6"/>
  <c r="H8" i="6"/>
  <c r="D11" i="6"/>
  <c r="C24" i="6"/>
  <c r="E24" i="6" s="1"/>
  <c r="G23" i="6"/>
  <c r="G22" i="6"/>
  <c r="C41" i="6"/>
  <c r="D41" i="6"/>
  <c r="F41" i="6"/>
  <c r="C45" i="6"/>
  <c r="E42" i="6"/>
  <c r="G16" i="7"/>
  <c r="H16" i="7" s="1"/>
  <c r="J16" i="7" s="1"/>
  <c r="L45" i="2" s="1"/>
  <c r="D12" i="9" s="1"/>
  <c r="C29" i="6"/>
  <c r="G26" i="6"/>
  <c r="C25" i="6"/>
  <c r="E25" i="6" s="1"/>
  <c r="C40" i="6"/>
  <c r="J65" i="7"/>
  <c r="J48" i="2" s="1"/>
  <c r="B30" i="6"/>
  <c r="G13" i="7"/>
  <c r="H13" i="7" s="1"/>
  <c r="J13" i="7" s="1"/>
  <c r="N51" i="2"/>
  <c r="G8" i="7"/>
  <c r="H8" i="7"/>
  <c r="J8" i="7" s="1"/>
  <c r="K8" i="7" s="1"/>
  <c r="G12" i="7"/>
  <c r="H12" i="7"/>
  <c r="J12" i="7"/>
  <c r="K12" i="7" s="1"/>
  <c r="M12" i="7" s="1"/>
  <c r="I28" i="7" s="1"/>
  <c r="F61" i="7"/>
  <c r="E37" i="2"/>
  <c r="E15" i="2"/>
  <c r="F62" i="7"/>
  <c r="J62" i="7" s="1"/>
  <c r="D6" i="6"/>
  <c r="D36" i="6" s="1"/>
  <c r="F36" i="6" s="1"/>
  <c r="V16" i="1"/>
  <c r="M85" i="2"/>
  <c r="Y16" i="1"/>
  <c r="Y22" i="1"/>
  <c r="Y23" i="1" s="1"/>
  <c r="K85" i="2"/>
  <c r="J26" i="6"/>
  <c r="J24" i="6"/>
  <c r="K24" i="6" s="1"/>
  <c r="B23" i="6"/>
  <c r="B38" i="6"/>
  <c r="D10" i="7"/>
  <c r="E10" i="7" s="1"/>
  <c r="G10" i="7" s="1"/>
  <c r="H10" i="7" s="1"/>
  <c r="J10" i="7" s="1"/>
  <c r="D11" i="7"/>
  <c r="E11" i="7"/>
  <c r="F54" i="7"/>
  <c r="G37" i="6"/>
  <c r="G42" i="6"/>
  <c r="E14" i="6"/>
  <c r="E13" i="6"/>
  <c r="F11" i="6"/>
  <c r="I11" i="6" s="1"/>
  <c r="K11" i="6" s="1"/>
  <c r="K41" i="6" s="1"/>
  <c r="F6" i="6"/>
  <c r="F14" i="6"/>
  <c r="G56" i="7"/>
  <c r="I56" i="7" s="1"/>
  <c r="J56" i="7" s="1"/>
  <c r="G61" i="7"/>
  <c r="I61" i="7" s="1"/>
  <c r="G64" i="7"/>
  <c r="I64" i="7" s="1"/>
  <c r="J64" i="7" s="1"/>
  <c r="G60" i="7"/>
  <c r="I60" i="7"/>
  <c r="G62" i="7"/>
  <c r="I62" i="7"/>
  <c r="G63" i="7"/>
  <c r="I63" i="7" s="1"/>
  <c r="J63" i="7" s="1"/>
  <c r="G58" i="7"/>
  <c r="I58" i="7" s="1"/>
  <c r="I54" i="7"/>
  <c r="G55" i="7"/>
  <c r="I55" i="7"/>
  <c r="B24" i="6"/>
  <c r="B39" i="6"/>
  <c r="K15" i="7"/>
  <c r="M15" i="7" s="1"/>
  <c r="H31" i="7" s="1"/>
  <c r="L44" i="2"/>
  <c r="D11" i="9" s="1"/>
  <c r="E11" i="9" s="1"/>
  <c r="J6" i="11"/>
  <c r="K6" i="11"/>
  <c r="F58" i="7"/>
  <c r="D13" i="6"/>
  <c r="F24" i="6"/>
  <c r="H24" i="6"/>
  <c r="G14" i="7"/>
  <c r="H14" i="7"/>
  <c r="J14" i="7"/>
  <c r="E5" i="9"/>
  <c r="E42" i="2"/>
  <c r="C22" i="6"/>
  <c r="E22" i="6" s="1"/>
  <c r="C39" i="6"/>
  <c r="D39" i="6" s="1"/>
  <c r="F39" i="6" s="1"/>
  <c r="C42" i="6"/>
  <c r="D42" i="6"/>
  <c r="F42" i="6" s="1"/>
  <c r="C43" i="6"/>
  <c r="C44" i="6"/>
  <c r="C38" i="6"/>
  <c r="D38" i="6"/>
  <c r="F38" i="6" s="1"/>
  <c r="G21" i="6"/>
  <c r="G30" i="6"/>
  <c r="G27" i="6"/>
  <c r="E45" i="6"/>
  <c r="E43" i="6"/>
  <c r="E12" i="9"/>
  <c r="K16" i="7"/>
  <c r="J11" i="6"/>
  <c r="H11" i="6"/>
  <c r="M44" i="2"/>
  <c r="O44" i="2" s="1"/>
  <c r="J54" i="7"/>
  <c r="J60" i="7"/>
  <c r="K60" i="7" s="1"/>
  <c r="D43" i="6"/>
  <c r="F43" i="6" s="1"/>
  <c r="J13" i="6"/>
  <c r="I25" i="7"/>
  <c r="F11" i="9"/>
  <c r="J43" i="2"/>
  <c r="G28" i="7"/>
  <c r="G21" i="10"/>
  <c r="G22" i="10" s="1"/>
  <c r="F22" i="10"/>
  <c r="D34" i="6"/>
  <c r="F34" i="6" s="1"/>
  <c r="J22" i="6"/>
  <c r="K22" i="6" s="1"/>
  <c r="K19" i="6"/>
  <c r="H34" i="6" s="1"/>
  <c r="J20" i="6"/>
  <c r="K20" i="6"/>
  <c r="J21" i="6"/>
  <c r="K21" i="6"/>
  <c r="D21" i="6"/>
  <c r="D22" i="6"/>
  <c r="D24" i="6"/>
  <c r="D30" i="6"/>
  <c r="D29" i="6"/>
  <c r="E29" i="6"/>
  <c r="E19" i="6"/>
  <c r="D27" i="6"/>
  <c r="D26" i="6"/>
  <c r="D28" i="6"/>
  <c r="B40" i="6"/>
  <c r="E7" i="6"/>
  <c r="E6" i="6"/>
  <c r="E5" i="6"/>
  <c r="B36" i="6"/>
  <c r="B21" i="6"/>
  <c r="F26" i="6"/>
  <c r="H26" i="6"/>
  <c r="F30" i="6"/>
  <c r="F21" i="6"/>
  <c r="H21" i="6" s="1"/>
  <c r="F28" i="6"/>
  <c r="H28" i="6" s="1"/>
  <c r="F25" i="6"/>
  <c r="H25" i="6" s="1"/>
  <c r="F20" i="6"/>
  <c r="H20" i="6"/>
  <c r="F23" i="6"/>
  <c r="H23" i="6"/>
  <c r="H19" i="6"/>
  <c r="F29" i="6"/>
  <c r="H29" i="6"/>
  <c r="D23" i="6"/>
  <c r="F22" i="6"/>
  <c r="H22" i="6" s="1"/>
  <c r="D25" i="6"/>
  <c r="I26" i="6"/>
  <c r="K26" i="6"/>
  <c r="K23" i="6"/>
  <c r="I24" i="6"/>
  <c r="D20" i="6"/>
  <c r="E20" i="6"/>
  <c r="H35" i="6" s="1"/>
  <c r="G40" i="6"/>
  <c r="G41" i="6"/>
  <c r="G39" i="6"/>
  <c r="G35" i="6"/>
  <c r="G45" i="6"/>
  <c r="G44" i="6"/>
  <c r="D10" i="6"/>
  <c r="D40" i="6" s="1"/>
  <c r="F40" i="6" s="1"/>
  <c r="F7" i="6"/>
  <c r="F13" i="6"/>
  <c r="F5" i="6"/>
  <c r="F10" i="6"/>
  <c r="F15" i="6"/>
  <c r="F9" i="6"/>
  <c r="I9" i="6" s="1"/>
  <c r="K9" i="6" s="1"/>
  <c r="F12" i="6"/>
  <c r="I12" i="6" s="1"/>
  <c r="I4" i="6"/>
  <c r="D5" i="6"/>
  <c r="J4" i="6"/>
  <c r="H4" i="6"/>
  <c r="D7" i="6"/>
  <c r="J7" i="6" s="1"/>
  <c r="D14" i="6"/>
  <c r="I14" i="6" s="1"/>
  <c r="F8" i="6"/>
  <c r="I8" i="6"/>
  <c r="I28" i="6"/>
  <c r="I29" i="6"/>
  <c r="K29" i="6"/>
  <c r="B43" i="6"/>
  <c r="B28" i="6"/>
  <c r="D35" i="6"/>
  <c r="F35" i="6" s="1"/>
  <c r="I5" i="6"/>
  <c r="K5" i="6" s="1"/>
  <c r="K35" i="6" s="1"/>
  <c r="J5" i="6"/>
  <c r="H5" i="6"/>
  <c r="H7" i="6"/>
  <c r="J14" i="6"/>
  <c r="D15" i="6"/>
  <c r="D44" i="6"/>
  <c r="F44" i="6" s="1"/>
  <c r="H14" i="6"/>
  <c r="K14" i="6" s="1"/>
  <c r="I15" i="6"/>
  <c r="J15" i="6"/>
  <c r="J46" i="2" l="1"/>
  <c r="J40" i="2"/>
  <c r="K57" i="7"/>
  <c r="L42" i="2"/>
  <c r="D9" i="9" s="1"/>
  <c r="E9" i="9" s="1"/>
  <c r="K13" i="7"/>
  <c r="I16" i="2"/>
  <c r="H37" i="6"/>
  <c r="K64" i="7"/>
  <c r="J47" i="2"/>
  <c r="K10" i="7"/>
  <c r="L39" i="2"/>
  <c r="D6" i="9" s="1"/>
  <c r="E6" i="9" s="1"/>
  <c r="H39" i="6"/>
  <c r="K39" i="6" s="1"/>
  <c r="J45" i="2"/>
  <c r="K62" i="7"/>
  <c r="K8" i="6"/>
  <c r="J39" i="2"/>
  <c r="K56" i="7"/>
  <c r="H40" i="6"/>
  <c r="J15" i="2" s="1"/>
  <c r="M8" i="7"/>
  <c r="M37" i="2"/>
  <c r="D37" i="6"/>
  <c r="F37" i="6" s="1"/>
  <c r="K12" i="6"/>
  <c r="G25" i="7"/>
  <c r="J25" i="7" s="1"/>
  <c r="L37" i="2"/>
  <c r="D4" i="9" s="1"/>
  <c r="E4" i="9" s="1"/>
  <c r="I10" i="6"/>
  <c r="H30" i="6"/>
  <c r="J6" i="6"/>
  <c r="M45" i="2"/>
  <c r="M16" i="7"/>
  <c r="M38" i="2"/>
  <c r="J58" i="7"/>
  <c r="N5" i="4"/>
  <c r="N101" i="4"/>
  <c r="J10" i="6"/>
  <c r="I6" i="6"/>
  <c r="H13" i="6"/>
  <c r="I13" i="6"/>
  <c r="H10" i="6"/>
  <c r="K10" i="6" s="1"/>
  <c r="M41" i="2"/>
  <c r="K54" i="7"/>
  <c r="G11" i="7"/>
  <c r="H11" i="7" s="1"/>
  <c r="J11" i="7" s="1"/>
  <c r="C16" i="2"/>
  <c r="E16" i="2" s="1"/>
  <c r="U6" i="3"/>
  <c r="D18" i="7"/>
  <c r="E18" i="7" s="1"/>
  <c r="G18" i="7" s="1"/>
  <c r="H18" i="7" s="1"/>
  <c r="D17" i="7"/>
  <c r="E17" i="7" s="1"/>
  <c r="G17" i="7" s="1"/>
  <c r="H17" i="7" s="1"/>
  <c r="J17" i="7" s="1"/>
  <c r="I7" i="6"/>
  <c r="K7" i="6" s="1"/>
  <c r="K37" i="6" s="1"/>
  <c r="H28" i="7"/>
  <c r="J28" i="7" s="1"/>
  <c r="G43" i="6"/>
  <c r="G38" i="6"/>
  <c r="E41" i="2"/>
  <c r="G32" i="7"/>
  <c r="K61" i="7"/>
  <c r="J44" i="2"/>
  <c r="V22" i="1"/>
  <c r="V23" i="1" s="1"/>
  <c r="AM16" i="1"/>
  <c r="C16" i="10" s="1"/>
  <c r="D16" i="10" s="1"/>
  <c r="H15" i="6"/>
  <c r="K15" i="6" s="1"/>
  <c r="K4" i="6"/>
  <c r="K34" i="6" s="1"/>
  <c r="H44" i="6"/>
  <c r="J16" i="2" s="1"/>
  <c r="H6" i="6"/>
  <c r="K6" i="6" s="1"/>
  <c r="L41" i="2"/>
  <c r="D8" i="9" s="1"/>
  <c r="E8" i="9" s="1"/>
  <c r="U18" i="3"/>
  <c r="U23" i="3"/>
  <c r="D45" i="6"/>
  <c r="F45" i="6" s="1"/>
  <c r="K14" i="7"/>
  <c r="L43" i="2"/>
  <c r="D10" i="9" s="1"/>
  <c r="E10" i="9" s="1"/>
  <c r="C86" i="2"/>
  <c r="U9" i="3"/>
  <c r="C14" i="2"/>
  <c r="E14" i="2" s="1"/>
  <c r="U37" i="3"/>
  <c r="G31" i="7"/>
  <c r="I31" i="7"/>
  <c r="J37" i="2"/>
  <c r="J55" i="7"/>
  <c r="C23" i="6"/>
  <c r="E23" i="6" s="1"/>
  <c r="E35" i="7"/>
  <c r="M41" i="3"/>
  <c r="U41" i="3" s="1"/>
  <c r="N83" i="4"/>
  <c r="C39" i="2"/>
  <c r="E39" i="2" s="1"/>
  <c r="H27" i="6"/>
  <c r="N48" i="4"/>
  <c r="T25" i="3"/>
  <c r="U25" i="3" s="1"/>
  <c r="U7" i="3"/>
  <c r="U19" i="3"/>
  <c r="M31" i="3"/>
  <c r="U43" i="3"/>
  <c r="N46" i="4"/>
  <c r="N70" i="4"/>
  <c r="N130" i="4"/>
  <c r="N142" i="4"/>
  <c r="N154" i="4"/>
  <c r="R14" i="1"/>
  <c r="C27" i="6"/>
  <c r="E27" i="6" s="1"/>
  <c r="H42" i="6" s="1"/>
  <c r="C21" i="6"/>
  <c r="E21" i="6" s="1"/>
  <c r="H36" i="6" s="1"/>
  <c r="J14" i="2" s="1"/>
  <c r="N72" i="4"/>
  <c r="U24" i="3"/>
  <c r="T31" i="3"/>
  <c r="T37" i="3"/>
  <c r="T29" i="3"/>
  <c r="U29" i="3" s="1"/>
  <c r="R35" i="3"/>
  <c r="T35" i="3"/>
  <c r="U35" i="3" s="1"/>
  <c r="C28" i="6"/>
  <c r="E28" i="6" s="1"/>
  <c r="H43" i="6" s="1"/>
  <c r="T34" i="3"/>
  <c r="U34" i="3" s="1"/>
  <c r="I44" i="7"/>
  <c r="J59" i="7" s="1"/>
  <c r="T24" i="3"/>
  <c r="T43" i="3"/>
  <c r="R13" i="3"/>
  <c r="T13" i="3"/>
  <c r="U13" i="3" s="1"/>
  <c r="U42" i="3"/>
  <c r="B42" i="6"/>
  <c r="B27" i="6"/>
  <c r="M17" i="2"/>
  <c r="N65" i="4"/>
  <c r="C30" i="6"/>
  <c r="E30" i="6" s="1"/>
  <c r="H45" i="6" s="1"/>
  <c r="T12" i="3"/>
  <c r="U12" i="3" s="1"/>
  <c r="T15" i="3"/>
  <c r="U15" i="3" s="1"/>
  <c r="O16" i="10"/>
  <c r="E15" i="6"/>
  <c r="J28" i="6"/>
  <c r="K28" i="6" s="1"/>
  <c r="J42" i="2" l="1"/>
  <c r="K59" i="7"/>
  <c r="AM14" i="1"/>
  <c r="C14" i="10" s="1"/>
  <c r="H14" i="10" s="1"/>
  <c r="R3" i="1"/>
  <c r="R22" i="1"/>
  <c r="R23" i="1" s="1"/>
  <c r="J31" i="7"/>
  <c r="O41" i="2"/>
  <c r="F8" i="9" s="1"/>
  <c r="Q11" i="1"/>
  <c r="K13" i="6"/>
  <c r="K43" i="6" s="1"/>
  <c r="K16" i="2"/>
  <c r="G24" i="7"/>
  <c r="I24" i="7"/>
  <c r="H24" i="7"/>
  <c r="J18" i="7"/>
  <c r="H19" i="7"/>
  <c r="K25" i="7"/>
  <c r="M55" i="7" s="1"/>
  <c r="L55" i="7"/>
  <c r="I38" i="2"/>
  <c r="K40" i="6"/>
  <c r="I15" i="2"/>
  <c r="K15" i="2" s="1"/>
  <c r="I41" i="2"/>
  <c r="K41" i="2" s="1"/>
  <c r="G8" i="9" s="1"/>
  <c r="K28" i="7"/>
  <c r="M58" i="7" s="1"/>
  <c r="L58" i="7"/>
  <c r="K44" i="6"/>
  <c r="K42" i="6"/>
  <c r="K58" i="7"/>
  <c r="J41" i="2"/>
  <c r="U15" i="1"/>
  <c r="O45" i="2"/>
  <c r="F12" i="9" s="1"/>
  <c r="K36" i="6"/>
  <c r="I14" i="2"/>
  <c r="K14" i="2" s="1"/>
  <c r="K45" i="6"/>
  <c r="K38" i="6"/>
  <c r="M14" i="7"/>
  <c r="M43" i="2"/>
  <c r="U31" i="3"/>
  <c r="K11" i="7"/>
  <c r="L40" i="2"/>
  <c r="D7" i="9" s="1"/>
  <c r="E7" i="9" s="1"/>
  <c r="O38" i="2"/>
  <c r="F5" i="9" s="1"/>
  <c r="P8" i="1"/>
  <c r="O37" i="2"/>
  <c r="F4" i="9" s="1"/>
  <c r="P7" i="1"/>
  <c r="M39" i="2"/>
  <c r="M10" i="7"/>
  <c r="K63" i="7"/>
  <c r="K17" i="7"/>
  <c r="L46" i="2"/>
  <c r="M42" i="2"/>
  <c r="M13" i="7"/>
  <c r="H38" i="6"/>
  <c r="E86" i="2"/>
  <c r="F86" i="2" s="1"/>
  <c r="E89" i="2"/>
  <c r="F89" i="2" s="1"/>
  <c r="J38" i="2"/>
  <c r="K55" i="7"/>
  <c r="H32" i="7"/>
  <c r="J32" i="7" s="1"/>
  <c r="I32" i="7"/>
  <c r="I45" i="2" l="1"/>
  <c r="K45" i="2" s="1"/>
  <c r="G12" i="9" s="1"/>
  <c r="L62" i="7"/>
  <c r="K32" i="7"/>
  <c r="M62" i="7" s="1"/>
  <c r="M17" i="7"/>
  <c r="M46" i="2"/>
  <c r="K6" i="7"/>
  <c r="K4" i="7"/>
  <c r="I27" i="7"/>
  <c r="H26" i="7"/>
  <c r="I4" i="9"/>
  <c r="I13" i="9"/>
  <c r="I8" i="9"/>
  <c r="I11" i="9"/>
  <c r="I12" i="9"/>
  <c r="H12" i="9"/>
  <c r="H5" i="9"/>
  <c r="J7" i="9"/>
  <c r="AM8" i="1"/>
  <c r="C8" i="10" s="1"/>
  <c r="H8" i="10" s="1"/>
  <c r="I7" i="9"/>
  <c r="I6" i="9"/>
  <c r="I9" i="9"/>
  <c r="I10" i="9"/>
  <c r="I15" i="9"/>
  <c r="I5" i="9"/>
  <c r="Q3" i="1"/>
  <c r="AM11" i="1"/>
  <c r="C11" i="10" s="1"/>
  <c r="H11" i="10" s="1"/>
  <c r="Q22" i="1"/>
  <c r="Q23" i="1" s="1"/>
  <c r="O43" i="2"/>
  <c r="F10" i="9" s="1"/>
  <c r="Q13" i="1"/>
  <c r="AM13" i="1" s="1"/>
  <c r="C13" i="10" s="1"/>
  <c r="H13" i="10" s="1"/>
  <c r="I44" i="2"/>
  <c r="K44" i="2" s="1"/>
  <c r="G11" i="9" s="1"/>
  <c r="H11" i="9" s="1"/>
  <c r="K31" i="7"/>
  <c r="M61" i="7" s="1"/>
  <c r="L61" i="7"/>
  <c r="K18" i="7"/>
  <c r="L47" i="2"/>
  <c r="D14" i="9" s="1"/>
  <c r="E14" i="9" s="1"/>
  <c r="J14" i="9" s="1"/>
  <c r="I14" i="10"/>
  <c r="J14" i="10"/>
  <c r="M14" i="10"/>
  <c r="L14" i="10"/>
  <c r="N14" i="10" s="1"/>
  <c r="P3" i="1"/>
  <c r="AM7" i="1"/>
  <c r="C7" i="10" s="1"/>
  <c r="H7" i="10" s="1"/>
  <c r="J24" i="7"/>
  <c r="U3" i="1"/>
  <c r="AM15" i="1"/>
  <c r="C15" i="10" s="1"/>
  <c r="H15" i="10" s="1"/>
  <c r="U22" i="1"/>
  <c r="U23" i="1" s="1"/>
  <c r="I16" i="9"/>
  <c r="K16" i="9" s="1"/>
  <c r="L88" i="2"/>
  <c r="M88" i="2" s="1"/>
  <c r="Q12" i="1"/>
  <c r="O42" i="2"/>
  <c r="F9" i="9" s="1"/>
  <c r="H8" i="9"/>
  <c r="H30" i="7"/>
  <c r="G30" i="7"/>
  <c r="I30" i="7"/>
  <c r="J19" i="7"/>
  <c r="L48" i="2" s="1"/>
  <c r="D15" i="9" s="1"/>
  <c r="E15" i="9" s="1"/>
  <c r="K65" i="7"/>
  <c r="O39" i="2"/>
  <c r="F6" i="9" s="1"/>
  <c r="O9" i="1"/>
  <c r="I29" i="7"/>
  <c r="H29" i="7"/>
  <c r="G29" i="7"/>
  <c r="J29" i="7" s="1"/>
  <c r="M11" i="7"/>
  <c r="H27" i="7" s="1"/>
  <c r="M40" i="2"/>
  <c r="K38" i="2"/>
  <c r="G5" i="9" s="1"/>
  <c r="D13" i="9"/>
  <c r="E13" i="9" s="1"/>
  <c r="J88" i="2"/>
  <c r="J89" i="2"/>
  <c r="D89" i="2"/>
  <c r="D88" i="2"/>
  <c r="E88" i="2" s="1"/>
  <c r="F88" i="2" s="1"/>
  <c r="I42" i="2" l="1"/>
  <c r="K42" i="2" s="1"/>
  <c r="G9" i="9" s="1"/>
  <c r="K29" i="7"/>
  <c r="M59" i="7" s="1"/>
  <c r="L59" i="7"/>
  <c r="I26" i="7"/>
  <c r="P10" i="1"/>
  <c r="O40" i="2"/>
  <c r="F7" i="9" s="1"/>
  <c r="L14" i="2"/>
  <c r="L4" i="7"/>
  <c r="H22" i="2"/>
  <c r="J5" i="9"/>
  <c r="L5" i="9" s="1"/>
  <c r="K5" i="9"/>
  <c r="K11" i="9"/>
  <c r="J11" i="9"/>
  <c r="L11" i="9" s="1"/>
  <c r="O46" i="2"/>
  <c r="F13" i="9" s="1"/>
  <c r="AB17" i="1"/>
  <c r="K89" i="2"/>
  <c r="M89" i="2" s="1"/>
  <c r="D9" i="11" s="1"/>
  <c r="L89" i="2"/>
  <c r="L15" i="10"/>
  <c r="M15" i="10"/>
  <c r="J15" i="10"/>
  <c r="I15" i="10"/>
  <c r="K15" i="10" s="1"/>
  <c r="K9" i="9"/>
  <c r="J9" i="9"/>
  <c r="K8" i="9"/>
  <c r="J8" i="9"/>
  <c r="L8" i="9" s="1"/>
  <c r="C57" i="2"/>
  <c r="E57" i="2" s="1"/>
  <c r="I33" i="7"/>
  <c r="I57" i="2"/>
  <c r="L57" i="2" s="1"/>
  <c r="G33" i="7"/>
  <c r="H33" i="7"/>
  <c r="H20" i="10"/>
  <c r="K88" i="2"/>
  <c r="E16" i="9" s="1"/>
  <c r="J16" i="9" s="1"/>
  <c r="L16" i="9" s="1"/>
  <c r="D16" i="9"/>
  <c r="AB20" i="1"/>
  <c r="J15" i="9"/>
  <c r="J6" i="9"/>
  <c r="H9" i="9"/>
  <c r="G26" i="7"/>
  <c r="J26" i="7" s="1"/>
  <c r="K14" i="10"/>
  <c r="O14" i="10" s="1"/>
  <c r="O22" i="1"/>
  <c r="O4" i="1"/>
  <c r="AM9" i="1"/>
  <c r="C9" i="10" s="1"/>
  <c r="H9" i="10" s="1"/>
  <c r="K19" i="7"/>
  <c r="M47" i="2"/>
  <c r="M18" i="7"/>
  <c r="J13" i="9"/>
  <c r="K4" i="9"/>
  <c r="J4" i="9"/>
  <c r="J11" i="10"/>
  <c r="L11" i="10"/>
  <c r="M11" i="10"/>
  <c r="I11" i="10"/>
  <c r="K11" i="10" s="1"/>
  <c r="Q4" i="1"/>
  <c r="AM12" i="1"/>
  <c r="C12" i="10" s="1"/>
  <c r="H12" i="10" s="1"/>
  <c r="G27" i="7"/>
  <c r="J27" i="7" s="1"/>
  <c r="J12" i="9"/>
  <c r="L12" i="9" s="1"/>
  <c r="K12" i="9"/>
  <c r="J22" i="2"/>
  <c r="L6" i="7"/>
  <c r="L16" i="2"/>
  <c r="J10" i="9"/>
  <c r="L54" i="7"/>
  <c r="I37" i="2"/>
  <c r="K37" i="2" s="1"/>
  <c r="G4" i="9" s="1"/>
  <c r="H4" i="9" s="1"/>
  <c r="K24" i="7"/>
  <c r="M54" i="7" s="1"/>
  <c r="J30" i="7"/>
  <c r="L7" i="10"/>
  <c r="J7" i="10"/>
  <c r="M7" i="10"/>
  <c r="I7" i="10"/>
  <c r="J13" i="10"/>
  <c r="M13" i="10"/>
  <c r="I13" i="10"/>
  <c r="M8" i="10"/>
  <c r="I8" i="10"/>
  <c r="J8" i="10"/>
  <c r="L8" i="10"/>
  <c r="N8" i="10" s="1"/>
  <c r="M9" i="10" l="1"/>
  <c r="J9" i="10"/>
  <c r="L10" i="10"/>
  <c r="J10" i="10"/>
  <c r="I9" i="10"/>
  <c r="K9" i="10" s="1"/>
  <c r="I10" i="10"/>
  <c r="K10" i="10" s="1"/>
  <c r="AB21" i="1"/>
  <c r="AM21" i="1" s="1"/>
  <c r="C21" i="10" s="1"/>
  <c r="D21" i="10" s="1"/>
  <c r="D22" i="10" s="1"/>
  <c r="AM20" i="1"/>
  <c r="C20" i="10" s="1"/>
  <c r="AB5" i="1"/>
  <c r="AM5" i="1" s="1"/>
  <c r="C5" i="10" s="1"/>
  <c r="C12" i="11" s="1"/>
  <c r="D12" i="11" s="1"/>
  <c r="O15" i="10"/>
  <c r="H3" i="11"/>
  <c r="J17" i="9"/>
  <c r="L4" i="9"/>
  <c r="AM17" i="1"/>
  <c r="C17" i="10" s="1"/>
  <c r="H17" i="10" s="1"/>
  <c r="AB3" i="1"/>
  <c r="AM3" i="1" s="1"/>
  <c r="C3" i="10" s="1"/>
  <c r="N11" i="10"/>
  <c r="I20" i="10"/>
  <c r="J20" i="10"/>
  <c r="N15" i="10"/>
  <c r="N7" i="10"/>
  <c r="L56" i="7"/>
  <c r="I39" i="2"/>
  <c r="K39" i="2" s="1"/>
  <c r="G6" i="9" s="1"/>
  <c r="K26" i="7"/>
  <c r="M56" i="7" s="1"/>
  <c r="AM10" i="1"/>
  <c r="C10" i="10" s="1"/>
  <c r="H10" i="10" s="1"/>
  <c r="M10" i="10" s="1"/>
  <c r="P4" i="1"/>
  <c r="P22" i="1"/>
  <c r="P23" i="1" s="1"/>
  <c r="K8" i="10"/>
  <c r="O8" i="10" s="1"/>
  <c r="L57" i="7"/>
  <c r="K27" i="7"/>
  <c r="M57" i="7" s="1"/>
  <c r="I40" i="2"/>
  <c r="K40" i="2" s="1"/>
  <c r="G7" i="9" s="1"/>
  <c r="K7" i="9" s="1"/>
  <c r="G34" i="7"/>
  <c r="H34" i="7"/>
  <c r="I34" i="7"/>
  <c r="O23" i="1"/>
  <c r="D14" i="11"/>
  <c r="E17" i="9"/>
  <c r="J12" i="10"/>
  <c r="I12" i="10"/>
  <c r="K12" i="10" s="1"/>
  <c r="L12" i="10"/>
  <c r="M12" i="10"/>
  <c r="O47" i="2"/>
  <c r="F14" i="9" s="1"/>
  <c r="AB18" i="1"/>
  <c r="AM18" i="1" s="1"/>
  <c r="C18" i="10" s="1"/>
  <c r="H18" i="10" s="1"/>
  <c r="O11" i="10"/>
  <c r="K7" i="10"/>
  <c r="J33" i="7"/>
  <c r="K30" i="7"/>
  <c r="M60" i="7" s="1"/>
  <c r="I43" i="2"/>
  <c r="L60" i="7"/>
  <c r="K13" i="10"/>
  <c r="M48" i="2"/>
  <c r="M19" i="7"/>
  <c r="K5" i="7"/>
  <c r="L9" i="9"/>
  <c r="K20" i="10" l="1"/>
  <c r="O20" i="10" s="1"/>
  <c r="I46" i="2"/>
  <c r="K46" i="2" s="1"/>
  <c r="G13" i="9" s="1"/>
  <c r="K33" i="7"/>
  <c r="M63" i="7" s="1"/>
  <c r="L63" i="7"/>
  <c r="O7" i="10"/>
  <c r="O48" i="2"/>
  <c r="F15" i="9" s="1"/>
  <c r="AB19" i="1"/>
  <c r="I22" i="2"/>
  <c r="L15" i="2"/>
  <c r="L5" i="7"/>
  <c r="K6" i="9"/>
  <c r="H6" i="9"/>
  <c r="I17" i="10"/>
  <c r="M17" i="10"/>
  <c r="L17" i="10"/>
  <c r="N17" i="10" s="1"/>
  <c r="J17" i="10"/>
  <c r="H35" i="7"/>
  <c r="I35" i="7"/>
  <c r="G35" i="7"/>
  <c r="J35" i="7" s="1"/>
  <c r="I18" i="10"/>
  <c r="J18" i="10"/>
  <c r="M18" i="10"/>
  <c r="O13" i="10"/>
  <c r="J34" i="7"/>
  <c r="N10" i="10"/>
  <c r="O10" i="10" s="1"/>
  <c r="N12" i="10"/>
  <c r="O12" i="10" s="1"/>
  <c r="K43" i="2"/>
  <c r="G10" i="9" s="1"/>
  <c r="L13" i="10"/>
  <c r="N13" i="10" s="1"/>
  <c r="H7" i="9"/>
  <c r="L7" i="9" s="1"/>
  <c r="L9" i="10"/>
  <c r="L65" i="7" l="1"/>
  <c r="I48" i="2"/>
  <c r="K48" i="2" s="1"/>
  <c r="K35" i="7"/>
  <c r="M65" i="7" s="1"/>
  <c r="AB4" i="1"/>
  <c r="AM4" i="1" s="1"/>
  <c r="C4" i="10" s="1"/>
  <c r="AM19" i="1"/>
  <c r="C19" i="10" s="1"/>
  <c r="H19" i="10" s="1"/>
  <c r="AB22" i="1"/>
  <c r="K34" i="7"/>
  <c r="M64" i="7" s="1"/>
  <c r="L64" i="7"/>
  <c r="I47" i="2"/>
  <c r="K17" i="10"/>
  <c r="F17" i="9"/>
  <c r="H4" i="11"/>
  <c r="H14" i="11" s="1"/>
  <c r="L17" i="2"/>
  <c r="N9" i="10"/>
  <c r="L6" i="9"/>
  <c r="H10" i="9"/>
  <c r="L10" i="9" s="1"/>
  <c r="K10" i="9"/>
  <c r="K13" i="9"/>
  <c r="H13" i="9"/>
  <c r="L13" i="9" s="1"/>
  <c r="K18" i="10"/>
  <c r="AB23" i="1" l="1"/>
  <c r="AM22" i="1"/>
  <c r="C22" i="10" s="1"/>
  <c r="K47" i="2"/>
  <c r="G14" i="9" s="1"/>
  <c r="L18" i="10"/>
  <c r="O9" i="10"/>
  <c r="G15" i="9"/>
  <c r="L87" i="2"/>
  <c r="M87" i="2" s="1"/>
  <c r="L86" i="2"/>
  <c r="M86" i="2" s="1"/>
  <c r="H86" i="2"/>
  <c r="I19" i="10"/>
  <c r="L19" i="10"/>
  <c r="M19" i="10"/>
  <c r="M22" i="10" s="1"/>
  <c r="J19" i="10"/>
  <c r="J22" i="10" s="1"/>
  <c r="I6" i="11" s="1"/>
  <c r="K8" i="11" s="1"/>
  <c r="H22" i="10"/>
  <c r="O17" i="10"/>
  <c r="K19" i="10" l="1"/>
  <c r="I22" i="10"/>
  <c r="K15" i="9"/>
  <c r="H15" i="9"/>
  <c r="L15" i="9" s="1"/>
  <c r="N18" i="10"/>
  <c r="L22" i="10"/>
  <c r="N19" i="10"/>
  <c r="K14" i="9"/>
  <c r="H14" i="9"/>
  <c r="L14" i="9" l="1"/>
  <c r="L17" i="9" s="1"/>
  <c r="H17" i="9"/>
  <c r="N22" i="10"/>
  <c r="O18" i="10"/>
  <c r="I4" i="11"/>
  <c r="I8" i="11" s="1"/>
  <c r="O19" i="10"/>
  <c r="K22" i="10"/>
  <c r="J10" i="11" l="1"/>
  <c r="J8" i="11"/>
  <c r="I14" i="11"/>
  <c r="K10" i="11"/>
  <c r="O22" i="10"/>
</calcChain>
</file>

<file path=xl/sharedStrings.xml><?xml version="1.0" encoding="utf-8"?>
<sst xmlns="http://schemas.openxmlformats.org/spreadsheetml/2006/main" count="1242" uniqueCount="707">
  <si>
    <t>OC.cult(OC)</t>
  </si>
  <si>
    <t>Equip./MO</t>
  </si>
  <si>
    <t>j1</t>
  </si>
  <si>
    <t>j2</t>
  </si>
  <si>
    <t>j3</t>
  </si>
  <si>
    <t>f1</t>
  </si>
  <si>
    <t>f2</t>
  </si>
  <si>
    <t>f3</t>
  </si>
  <si>
    <t>m1</t>
  </si>
  <si>
    <t>m2</t>
  </si>
  <si>
    <t>m3</t>
  </si>
  <si>
    <t>a1</t>
  </si>
  <si>
    <t>a2</t>
  </si>
  <si>
    <t>a3</t>
  </si>
  <si>
    <t>s1</t>
  </si>
  <si>
    <t>s2</t>
  </si>
  <si>
    <t>s3</t>
  </si>
  <si>
    <t>o1</t>
  </si>
  <si>
    <t>o2</t>
  </si>
  <si>
    <t>o3</t>
  </si>
  <si>
    <t>n1</t>
  </si>
  <si>
    <t>n2</t>
  </si>
  <si>
    <t>n3</t>
  </si>
  <si>
    <t>d1</t>
  </si>
  <si>
    <t>d2</t>
  </si>
  <si>
    <t>d3</t>
  </si>
  <si>
    <t>MO+Eq+Tr</t>
  </si>
  <si>
    <t>Eq.</t>
  </si>
  <si>
    <t>BV</t>
  </si>
  <si>
    <t>BF</t>
  </si>
  <si>
    <t>TOTAIS</t>
  </si>
  <si>
    <t>(h)</t>
  </si>
  <si>
    <t>(desig.)</t>
  </si>
  <si>
    <t>(un.util.)</t>
  </si>
  <si>
    <t>Lavoura</t>
  </si>
  <si>
    <t>Adubação</t>
  </si>
  <si>
    <t>Gradagem</t>
  </si>
  <si>
    <t>Aplic.herb.</t>
  </si>
  <si>
    <t>Mob.superf.</t>
  </si>
  <si>
    <t>Sementeira</t>
  </si>
  <si>
    <t>Abert. de regos</t>
  </si>
  <si>
    <t>Rega</t>
  </si>
  <si>
    <t>Plastico</t>
  </si>
  <si>
    <t>Sal</t>
  </si>
  <si>
    <t>TOT/ANO</t>
  </si>
  <si>
    <t>UHT</t>
  </si>
  <si>
    <t>CV(€)</t>
  </si>
  <si>
    <t>CF(€)</t>
  </si>
  <si>
    <t>(€)</t>
  </si>
  <si>
    <t>(€/un)</t>
  </si>
  <si>
    <t>€ / UF:</t>
  </si>
  <si>
    <t>MO/P</t>
  </si>
  <si>
    <t>MO/T</t>
  </si>
  <si>
    <t>Mec</t>
  </si>
  <si>
    <t>Tr</t>
  </si>
  <si>
    <t>(cto/un (€))</t>
  </si>
  <si>
    <t>CF:</t>
  </si>
  <si>
    <t>CV:</t>
  </si>
  <si>
    <t>CF+CV:</t>
  </si>
  <si>
    <t>Silo (amort)</t>
  </si>
  <si>
    <t>Out.receit:</t>
  </si>
  <si>
    <t>RB (Pr*pr+Or):</t>
  </si>
  <si>
    <t xml:space="preserve">Bens Var.
(BV) </t>
  </si>
  <si>
    <t>Cto 
BV</t>
  </si>
  <si>
    <t>Bens Fix. 
(BF)</t>
  </si>
  <si>
    <t>Cto 
BF</t>
  </si>
  <si>
    <t>Cto 
OC</t>
  </si>
  <si>
    <t>Resultados 
Económicos</t>
  </si>
  <si>
    <t>Equipamentos:</t>
  </si>
  <si>
    <t>….</t>
  </si>
  <si>
    <t>…</t>
  </si>
  <si>
    <t>Unidades</t>
  </si>
  <si>
    <t>h / ha</t>
  </si>
  <si>
    <t>……</t>
  </si>
  <si>
    <t>Fatores de produção:</t>
  </si>
  <si>
    <t>Unidades/ha</t>
  </si>
  <si>
    <t>Benfeitorias:</t>
  </si>
  <si>
    <t>Quebras de produção (%)</t>
  </si>
  <si>
    <t>Ctos Fixos 
(€/un) / h</t>
  </si>
  <si>
    <t>Ctos Var.
(€/un) / h</t>
  </si>
  <si>
    <t>Tratorista 1</t>
  </si>
  <si>
    <t>Tratorista 2</t>
  </si>
  <si>
    <t>Produção (ton/ha)</t>
  </si>
  <si>
    <t>Equipamentos de tracção</t>
  </si>
  <si>
    <t>TxJuros(%):</t>
  </si>
  <si>
    <t>TSR (%):</t>
  </si>
  <si>
    <t>CCb(l/cv.h):</t>
  </si>
  <si>
    <t>PrCb(€/L):</t>
  </si>
  <si>
    <t>CLb(l/cv.h):</t>
  </si>
  <si>
    <t>PrLb(€/L):</t>
  </si>
  <si>
    <t>PrPn(€):</t>
  </si>
  <si>
    <t>DrPn(h):</t>
  </si>
  <si>
    <t>Rp (%):</t>
  </si>
  <si>
    <t>Man(%Rp):</t>
  </si>
  <si>
    <t>Cond(€/h):</t>
  </si>
  <si>
    <t>ValAtr-</t>
  </si>
  <si>
    <t>ValRef-</t>
  </si>
  <si>
    <t>ID</t>
  </si>
  <si>
    <t>Designação</t>
  </si>
  <si>
    <t>Pot</t>
  </si>
  <si>
    <t>PrRef</t>
  </si>
  <si>
    <t>PrAtr</t>
  </si>
  <si>
    <t>h/ano</t>
  </si>
  <si>
    <t>Amort</t>
  </si>
  <si>
    <t>Juros</t>
  </si>
  <si>
    <t>Sg+Rc</t>
  </si>
  <si>
    <t>EF</t>
  </si>
  <si>
    <t>CtCb</t>
  </si>
  <si>
    <t>CtLb</t>
  </si>
  <si>
    <t>CtPn</t>
  </si>
  <si>
    <t>CtRp</t>
  </si>
  <si>
    <t>CtMn</t>
  </si>
  <si>
    <t>CtCd</t>
  </si>
  <si>
    <t>EV</t>
  </si>
  <si>
    <t>EF+EV</t>
  </si>
  <si>
    <t>(cv)</t>
  </si>
  <si>
    <t>(anos)</t>
  </si>
  <si>
    <t>(horas)</t>
  </si>
  <si>
    <t>(€/h)</t>
  </si>
  <si>
    <t>Tractor 2RM</t>
  </si>
  <si>
    <t>Tractor 4RM</t>
  </si>
  <si>
    <t>Tractor rastos</t>
  </si>
  <si>
    <t>Equipamentos - Designação</t>
  </si>
  <si>
    <t>TxJuros(%)-</t>
  </si>
  <si>
    <t>Modelo</t>
  </si>
  <si>
    <t>Repar.</t>
  </si>
  <si>
    <t>PrRef.</t>
  </si>
  <si>
    <t>PrAtrib.</t>
  </si>
  <si>
    <t>Amort.</t>
  </si>
  <si>
    <t>CtRep.</t>
  </si>
  <si>
    <t>(%)</t>
  </si>
  <si>
    <t>Carregador Frontal</t>
  </si>
  <si>
    <t>1,2 m</t>
  </si>
  <si>
    <t>Distribuidor de estrume</t>
  </si>
  <si>
    <t>4 tPB</t>
  </si>
  <si>
    <t>6 tPB</t>
  </si>
  <si>
    <t>Distribuidor de Chorume</t>
  </si>
  <si>
    <t>3000 litros</t>
  </si>
  <si>
    <t>4000 litros</t>
  </si>
  <si>
    <t>Cultivador rotativo de facas (fresa)</t>
  </si>
  <si>
    <t>1,1 m</t>
  </si>
  <si>
    <t>1,3 m</t>
  </si>
  <si>
    <t>1,5 m</t>
  </si>
  <si>
    <t>1,7 m</t>
  </si>
  <si>
    <t>1,9 m</t>
  </si>
  <si>
    <t>2,2 m</t>
  </si>
  <si>
    <t>Cultivador rotativo de bicos, c/ 4 ferros subsoladores e rolo</t>
  </si>
  <si>
    <t>3 m</t>
  </si>
  <si>
    <t>Charrua p/ surriba, c/ 1 ferro de 24'', reversível, rebocada</t>
  </si>
  <si>
    <t>60 cm</t>
  </si>
  <si>
    <t>Charrua c/ 2-3 ferros de 16'', corpo fixo, rebocada</t>
  </si>
  <si>
    <t>80 cm-2F</t>
  </si>
  <si>
    <t>120 cm-3F</t>
  </si>
  <si>
    <t>Charrua c/ 2-3 ferros de 18'' (reforçada), corpo fixo, rebocada</t>
  </si>
  <si>
    <t>90 cm-2F</t>
  </si>
  <si>
    <t>135 cm-3F</t>
  </si>
  <si>
    <t>Charrua c/ 1 ferro, 10-18'', reversão mecânica, montada</t>
  </si>
  <si>
    <t>25 cm-1F10''</t>
  </si>
  <si>
    <t>30 cm-1F12''</t>
  </si>
  <si>
    <t>35 cm-1F14''</t>
  </si>
  <si>
    <t>40 cm-1F16''</t>
  </si>
  <si>
    <t>45 cm-1F18''</t>
  </si>
  <si>
    <t>Charrua c/ 2 ferros, 10-12'', reversão mecânica, montada</t>
  </si>
  <si>
    <t>50 cm-2F10''</t>
  </si>
  <si>
    <t>60 cm-2F12''</t>
  </si>
  <si>
    <t>Charrua c/ 2-5 ferros, 14-18'', reversão hidráulica montada</t>
  </si>
  <si>
    <t>70 cm-2F14''</t>
  </si>
  <si>
    <t>80 cm-2F16''</t>
  </si>
  <si>
    <t>90 cm-2F18''</t>
  </si>
  <si>
    <t>105 cm-3F14''</t>
  </si>
  <si>
    <t>120 cm-3F16''</t>
  </si>
  <si>
    <t>140 cm-4F14''</t>
  </si>
  <si>
    <t>160 cm-4F16''</t>
  </si>
  <si>
    <t>175 cm-5F14''</t>
  </si>
  <si>
    <t>200 cm-5F16''</t>
  </si>
  <si>
    <t>Charrua vinhateira de aivecas, sem escavadoras</t>
  </si>
  <si>
    <t>5 ferros</t>
  </si>
  <si>
    <t>7 ferros</t>
  </si>
  <si>
    <t>Charrua vinhateira de aivecas, com escavadoras</t>
  </si>
  <si>
    <t>Charrua com discos de 26''</t>
  </si>
  <si>
    <t>2 discos</t>
  </si>
  <si>
    <t>3 discos</t>
  </si>
  <si>
    <t>4 discos</t>
  </si>
  <si>
    <t>Charrua vinhateira de discos</t>
  </si>
  <si>
    <t>6 discos</t>
  </si>
  <si>
    <t>8discos</t>
  </si>
  <si>
    <t>Grade offset com discos de 20'', montada</t>
  </si>
  <si>
    <t>14 discos</t>
  </si>
  <si>
    <t>16 discos</t>
  </si>
  <si>
    <t>18 discos</t>
  </si>
  <si>
    <t>20 discos</t>
  </si>
  <si>
    <t>Grade offset com discos de 24'', lev. Hidráulico, rebocada</t>
  </si>
  <si>
    <t>22 discos</t>
  </si>
  <si>
    <t>24 discos</t>
  </si>
  <si>
    <t>28 discos</t>
  </si>
  <si>
    <t>32 discos</t>
  </si>
  <si>
    <t>36 discos</t>
  </si>
  <si>
    <t>44 discos</t>
  </si>
  <si>
    <t>48 discos</t>
  </si>
  <si>
    <t>Subsolador (sulcos a 50 cm)</t>
  </si>
  <si>
    <t>1 ferro</t>
  </si>
  <si>
    <t>2 ferros</t>
  </si>
  <si>
    <t>3 ferros</t>
  </si>
  <si>
    <t>9 ferros</t>
  </si>
  <si>
    <t>Chisel, sulcos a 35 cm</t>
  </si>
  <si>
    <t>5 braços</t>
  </si>
  <si>
    <t>7 braços</t>
  </si>
  <si>
    <t>9 braços</t>
  </si>
  <si>
    <t>11 braços</t>
  </si>
  <si>
    <t>Escarificador convencional, braços a 27 cm (articulados)</t>
  </si>
  <si>
    <t>13 braços</t>
  </si>
  <si>
    <t>15 braços</t>
  </si>
  <si>
    <t>17 braços</t>
  </si>
  <si>
    <t>19 braços</t>
  </si>
  <si>
    <t>Vibrocultor pesado, sulcos a 25 cm</t>
  </si>
  <si>
    <t>Vibrocultor ligeiro, sulcos a 10 cm</t>
  </si>
  <si>
    <t>18 braços</t>
  </si>
  <si>
    <t>22 braços</t>
  </si>
  <si>
    <t>27 braços</t>
  </si>
  <si>
    <t>36 braços</t>
  </si>
  <si>
    <t>45 braços</t>
  </si>
  <si>
    <t>54 braços</t>
  </si>
  <si>
    <t>63 braços</t>
  </si>
  <si>
    <t>Sachador, 2-6 linha a 75 cm</t>
  </si>
  <si>
    <t>1,50 m - 2 linhas</t>
  </si>
  <si>
    <t>2,25 m - 3 linhas</t>
  </si>
  <si>
    <t>3,00 m - 4 linhas</t>
  </si>
  <si>
    <t>3,75 m - 5 linhas</t>
  </si>
  <si>
    <t>4,50 m - 6 linhas</t>
  </si>
  <si>
    <t>Sachador - fertilizador, 2-6 linhas a 75 cm</t>
  </si>
  <si>
    <t>Derregador</t>
  </si>
  <si>
    <t>4 ferros</t>
  </si>
  <si>
    <t>Rolo destorroador - compressor</t>
  </si>
  <si>
    <t>1,8 m</t>
  </si>
  <si>
    <t>2,4 m</t>
  </si>
  <si>
    <t>Distribuidor de adubo, centrífugo, montado</t>
  </si>
  <si>
    <t>600 litros</t>
  </si>
  <si>
    <t>Distribuidor de adubo (600 litros), de sulcos, montado</t>
  </si>
  <si>
    <t>Distribuidor de adubo (600 litros), de linhas, montado</t>
  </si>
  <si>
    <t>4 linhas</t>
  </si>
  <si>
    <t>6 linhas</t>
  </si>
  <si>
    <t>Distribuidor de adubo, centrífugo, rebocado</t>
  </si>
  <si>
    <t>1000 litros</t>
  </si>
  <si>
    <t>2000 litros</t>
  </si>
  <si>
    <t>Semeador - fertilizador de linhas, para cereais de Outono</t>
  </si>
  <si>
    <t>4 m</t>
  </si>
  <si>
    <t>Semeador de rolos, para culturas pratenses</t>
  </si>
  <si>
    <t>Semeados - fertilizador de precisão (monogrão), pneumático</t>
  </si>
  <si>
    <t>2 linhas</t>
  </si>
  <si>
    <t>3 linhas</t>
  </si>
  <si>
    <t>5 linhas</t>
  </si>
  <si>
    <t>Polvilhador</t>
  </si>
  <si>
    <t>130 kg</t>
  </si>
  <si>
    <t>150 kg</t>
  </si>
  <si>
    <t>170 kg</t>
  </si>
  <si>
    <t>200 kg</t>
  </si>
  <si>
    <t>Pulverizador convencional, montado, barras 8-16 m</t>
  </si>
  <si>
    <t>400 litros - 8 m</t>
  </si>
  <si>
    <t>450 litros - 9 m</t>
  </si>
  <si>
    <t>530 litros - 10,5 m</t>
  </si>
  <si>
    <t>600 litros - 12 m</t>
  </si>
  <si>
    <t>800 litros - 16 m</t>
  </si>
  <si>
    <t>Pulverizador com ventilador, montado</t>
  </si>
  <si>
    <t>Pulverizador convencional, rebocado, barra 10,5-16 m</t>
  </si>
  <si>
    <t>1300 litros - 10,5 m</t>
  </si>
  <si>
    <t>1500 litros - 12 m</t>
  </si>
  <si>
    <t>1700 litros - 14 m</t>
  </si>
  <si>
    <t>2000 litros - 16</t>
  </si>
  <si>
    <t>Pulverizador com ventilador, rebocado</t>
  </si>
  <si>
    <t>1300 litros</t>
  </si>
  <si>
    <t>1500 litros</t>
  </si>
  <si>
    <t>1700 litros</t>
  </si>
  <si>
    <t>Colhedor de forragem, de martelos c/ corte simples</t>
  </si>
  <si>
    <t>1,4 m</t>
  </si>
  <si>
    <t>Colhedor de forragem, de martelos c/ corte duplo</t>
  </si>
  <si>
    <t>1,6 m</t>
  </si>
  <si>
    <t>Colhedor de forragem, de precisão com barra de corte</t>
  </si>
  <si>
    <t>2,1 m</t>
  </si>
  <si>
    <t>Colhedor de forragem, de precisão com pick-up</t>
  </si>
  <si>
    <t>Colhedor de forragem, de precisão com unidade para milho</t>
  </si>
  <si>
    <t>1 linha</t>
  </si>
  <si>
    <t>Colhedor de forragem, de precisão especial para milho</t>
  </si>
  <si>
    <t>Gadanheira de discos</t>
  </si>
  <si>
    <t>2 m</t>
  </si>
  <si>
    <t>Gadanheira convencional de facas, corte simples</t>
  </si>
  <si>
    <t>Gadanheira convencional de facas, corte duplo</t>
  </si>
  <si>
    <t>Gadanheira condicionadora, de discos e rolos, montada</t>
  </si>
  <si>
    <t>Gadanheira condicionadora, de discos e rolos, rebocada</t>
  </si>
  <si>
    <t>Virador - Juntador de fenos, com 4 discos</t>
  </si>
  <si>
    <t>Enfardadeira convencional (adicionar o custo do fio consumido)</t>
  </si>
  <si>
    <t>14 x 18''</t>
  </si>
  <si>
    <t>Enfardadeira rotativa (adicionar o custo do fio consumido)</t>
  </si>
  <si>
    <t>1,2 m (fardo)</t>
  </si>
  <si>
    <t>1,5 m (fardo)</t>
  </si>
  <si>
    <t>Reboque para colheita de forragem</t>
  </si>
  <si>
    <t>3,5 tPB</t>
  </si>
  <si>
    <t>4,5 tPB</t>
  </si>
  <si>
    <t>5,3 tPB</t>
  </si>
  <si>
    <t>7 tPB</t>
  </si>
  <si>
    <t>8 tPB</t>
  </si>
  <si>
    <t>9 tPB</t>
  </si>
  <si>
    <t>10,5 tPB</t>
  </si>
  <si>
    <t>12 tPB</t>
  </si>
  <si>
    <t>Reboque basculante, caixa metálica</t>
  </si>
  <si>
    <t>Carregador de fardos (rampa elevadora), montado</t>
  </si>
  <si>
    <t>Arrancador de batata</t>
  </si>
  <si>
    <t>Pá niveladora traseira</t>
  </si>
  <si>
    <t>Caixa niveladora</t>
  </si>
  <si>
    <t>3,5 m</t>
  </si>
  <si>
    <t>Perfuradora, montada</t>
  </si>
  <si>
    <t>12''</t>
  </si>
  <si>
    <t>Despontadora de sarmentos</t>
  </si>
  <si>
    <t>2 barras</t>
  </si>
  <si>
    <t>Triturador de vides</t>
  </si>
  <si>
    <t>Máquina de vindimar rebocada</t>
  </si>
  <si>
    <t>1400 litros</t>
  </si>
  <si>
    <t>Moto - sachador (Diesel)</t>
  </si>
  <si>
    <t>8 cv</t>
  </si>
  <si>
    <t>Motocultivador com fresa</t>
  </si>
  <si>
    <t>12 cv</t>
  </si>
  <si>
    <t>14 cv</t>
  </si>
  <si>
    <t>18 cv</t>
  </si>
  <si>
    <t>Motogadanheira</t>
  </si>
  <si>
    <t>11 cv</t>
  </si>
  <si>
    <t>Motoceifeira atadeira (Diesel)</t>
  </si>
  <si>
    <t>Motocultivador com pulverizador de 180 litros</t>
  </si>
  <si>
    <t>Colhedor de forragem automotriz, com barra de corte</t>
  </si>
  <si>
    <t>160 cv - 3,2 m</t>
  </si>
  <si>
    <t>180 cv - 3,6 m</t>
  </si>
  <si>
    <t>210 cv - 4,2 m</t>
  </si>
  <si>
    <t>240 cv - 4,8 m</t>
  </si>
  <si>
    <t>Colhedor de forragem automotriz, para milho, com 3-4 linhas</t>
  </si>
  <si>
    <t>160 cv - 3 linhas</t>
  </si>
  <si>
    <t>180 cv - 3 linhas</t>
  </si>
  <si>
    <t>210 cv - 4 linhas</t>
  </si>
  <si>
    <t>240 cv - 4 linhas</t>
  </si>
  <si>
    <t>Gadanheira condicionadora automotriz, de facas e rolos</t>
  </si>
  <si>
    <t>30 cv - 2,1 m</t>
  </si>
  <si>
    <t>45 cv - 3,2 m</t>
  </si>
  <si>
    <t>Ceifeira debulhadora automotriz, de rodas para trigo</t>
  </si>
  <si>
    <t>80 cv - 3,2 m</t>
  </si>
  <si>
    <t>90 cv - 3,6 m</t>
  </si>
  <si>
    <t>105 cv - 4,2 m</t>
  </si>
  <si>
    <t>120 cv - 4,8 m</t>
  </si>
  <si>
    <t>135 cv - 5,4 m</t>
  </si>
  <si>
    <t>150 cv - 6,0 m</t>
  </si>
  <si>
    <t>Ceifeira debulhadora automotriz, de lagartas para arroz</t>
  </si>
  <si>
    <t>80 cv - 2,7 m</t>
  </si>
  <si>
    <t>90 cv - 3,2 m</t>
  </si>
  <si>
    <t>105 cv - 3,6 m</t>
  </si>
  <si>
    <t>120 cv - 4,2 m</t>
  </si>
  <si>
    <t>135 cv - 4,8 m</t>
  </si>
  <si>
    <t>150 cv - 5,4 m</t>
  </si>
  <si>
    <t>Ceifeira debulhadora automotriz, de rodas para milho, 3-6 linhas</t>
  </si>
  <si>
    <t>80 cv - 3 linhas</t>
  </si>
  <si>
    <t>90 cv - 4 linhas</t>
  </si>
  <si>
    <t>105 cv - 4 linhas</t>
  </si>
  <si>
    <t>120 cv - 5 linhas</t>
  </si>
  <si>
    <t>135 cv - 5 linhas</t>
  </si>
  <si>
    <t>150 cv - 6 linhas</t>
  </si>
  <si>
    <t>Máquina de vindimar automotriz</t>
  </si>
  <si>
    <t>80 cv - 2000 litros</t>
  </si>
  <si>
    <t>105 cv - 2300 litros</t>
  </si>
  <si>
    <t>Colhedor automotriz de batata</t>
  </si>
  <si>
    <t>120 cv - 2t</t>
  </si>
  <si>
    <t>Atenção - Para as 3 primeiras colunas da tabela do IHERA utiliza-se VUtil=10 e para a 4ª 8 anos</t>
  </si>
  <si>
    <t>Ar.</t>
  </si>
  <si>
    <t>L.T.</t>
  </si>
  <si>
    <t>V.T.</t>
  </si>
  <si>
    <t>C.T.C.</t>
  </si>
  <si>
    <t>E.C.</t>
  </si>
  <si>
    <t>C.E.C.</t>
  </si>
  <si>
    <t>(ha)</t>
  </si>
  <si>
    <t>(m)</t>
  </si>
  <si>
    <t>(Km/h)</t>
  </si>
  <si>
    <t>(ha/h)</t>
  </si>
  <si>
    <t>(h/ha)</t>
  </si>
  <si>
    <t>Tractor</t>
  </si>
  <si>
    <t>Pr.tractor</t>
  </si>
  <si>
    <t>V. U.</t>
  </si>
  <si>
    <t>T.J.</t>
  </si>
  <si>
    <t>T.S.R.</t>
  </si>
  <si>
    <t>Depr.</t>
  </si>
  <si>
    <t>Seg+Rec</t>
  </si>
  <si>
    <t>E.F.(h)</t>
  </si>
  <si>
    <t>(h/ano)</t>
  </si>
  <si>
    <t>Cs.Cb.</t>
  </si>
  <si>
    <t>Pr. Cb.</t>
  </si>
  <si>
    <t>CtoCb</t>
  </si>
  <si>
    <t>Cs.Lub.</t>
  </si>
  <si>
    <t>Pr. Lub.</t>
  </si>
  <si>
    <t>CtoLub.</t>
  </si>
  <si>
    <t>Pr. Pn</t>
  </si>
  <si>
    <t>Dr.Pn</t>
  </si>
  <si>
    <t>Cto Pn.</t>
  </si>
  <si>
    <t>l/cv.h</t>
  </si>
  <si>
    <t>(€/l)</t>
  </si>
  <si>
    <t>(l/cv.h)</t>
  </si>
  <si>
    <t>Rep.</t>
  </si>
  <si>
    <t>M.O./Man.</t>
  </si>
  <si>
    <t>Cond.</t>
  </si>
  <si>
    <t>E.V.(h)</t>
  </si>
  <si>
    <t>EF + EV</t>
  </si>
  <si>
    <t>Trator</t>
  </si>
  <si>
    <t>Pot
(cv)</t>
  </si>
  <si>
    <t>Trator 53 cv</t>
  </si>
  <si>
    <t>Pr.Maq.</t>
  </si>
  <si>
    <t>Pot.</t>
  </si>
  <si>
    <t>Seg.</t>
  </si>
  <si>
    <t>E.F.(ha)</t>
  </si>
  <si>
    <t>€/ha</t>
  </si>
  <si>
    <t>Pot.Mot.</t>
  </si>
  <si>
    <t>C.C.</t>
  </si>
  <si>
    <t>Cons.C.</t>
  </si>
  <si>
    <t>Pr. C.</t>
  </si>
  <si>
    <t>Comb.</t>
  </si>
  <si>
    <t>C.L.</t>
  </si>
  <si>
    <t>P. L.</t>
  </si>
  <si>
    <t>Lubr.</t>
  </si>
  <si>
    <t>(l/h)</t>
  </si>
  <si>
    <t>P. p.</t>
  </si>
  <si>
    <t>D.p</t>
  </si>
  <si>
    <t>Pn.</t>
  </si>
  <si>
    <t>M.O.</t>
  </si>
  <si>
    <t>Man.</t>
  </si>
  <si>
    <t>E.V.(ha)</t>
  </si>
  <si>
    <t>(% M.O.)</t>
  </si>
  <si>
    <t>C/h(Eq.)</t>
  </si>
  <si>
    <t>C/h(Tr)</t>
  </si>
  <si>
    <t>C/h(o.c.)</t>
  </si>
  <si>
    <t>Rendimento em trabalho dos equipamentos</t>
  </si>
  <si>
    <t>Custo das operações culturais</t>
  </si>
  <si>
    <t>Equipamento</t>
  </si>
  <si>
    <t>Tratores 
(outros dados)</t>
  </si>
  <si>
    <t>Tratores 
(dados principais):</t>
  </si>
  <si>
    <t>Mão-de-obra
(permanente)</t>
  </si>
  <si>
    <t>Mão-de-obra
(temporária)</t>
  </si>
  <si>
    <t>Ctos Fixos
(€/un) / h</t>
  </si>
  <si>
    <t>TOTAL</t>
  </si>
  <si>
    <t>Cto Referência
(€)</t>
  </si>
  <si>
    <t xml:space="preserve">Valores unitários de referência </t>
  </si>
  <si>
    <t>Cto Atribuidos
(€)</t>
  </si>
  <si>
    <t>Cto
(€/un)</t>
  </si>
  <si>
    <t>Taxa de juros (%)
(tratores_equip)</t>
  </si>
  <si>
    <t>Taxa Seg + Rec (%)
(equip. motorizado)</t>
  </si>
  <si>
    <t>Cs Comb (l/cv.h)</t>
  </si>
  <si>
    <t>Pr. Comb. (€/h)</t>
  </si>
  <si>
    <t>Cs.Lub. (l/cv.h)</t>
  </si>
  <si>
    <t>Pr. Lub (€/h)</t>
  </si>
  <si>
    <t>Pr. Pneus (€)</t>
  </si>
  <si>
    <t>Duração Pneus (h)</t>
  </si>
  <si>
    <t>Taxa de reparação (%)</t>
  </si>
  <si>
    <t>Condução (€/h))</t>
  </si>
  <si>
    <t>MO não especializada</t>
  </si>
  <si>
    <t>Outros dados:</t>
  </si>
  <si>
    <t>Hangar - Cto_área_coberta (€/m2)</t>
  </si>
  <si>
    <t>Armazém - Cto_área_coberta (€/m2)</t>
  </si>
  <si>
    <t>Colheita</t>
  </si>
  <si>
    <t>Nº</t>
  </si>
  <si>
    <t>Silo MO</t>
  </si>
  <si>
    <t>1 MO</t>
  </si>
  <si>
    <t>Ctos / h
(€/h)</t>
  </si>
  <si>
    <t>Ch 2F+Tr1</t>
  </si>
  <si>
    <t>Ch 1F+Tr2</t>
  </si>
  <si>
    <t>Dist.Cent.+Tr2</t>
  </si>
  <si>
    <t>Grad.discos+Tr1</t>
  </si>
  <si>
    <t>PJP+Tr2</t>
  </si>
  <si>
    <t>Vibrocultor+Tr2</t>
  </si>
  <si>
    <t>Sem.Mon.+Tr1</t>
  </si>
  <si>
    <t>Derreg.+Tr1</t>
  </si>
  <si>
    <t>Col.Milho+Tr1</t>
  </si>
  <si>
    <t>Semi-R.+Tr1</t>
  </si>
  <si>
    <t>Semi-R.+Tr2</t>
  </si>
  <si>
    <t>Silo 
(calca/o)</t>
  </si>
  <si>
    <t>Silo (calcamento)</t>
  </si>
  <si>
    <t>Trator 45 cv</t>
  </si>
  <si>
    <t>Trator 27 cv</t>
  </si>
  <si>
    <t>..</t>
  </si>
  <si>
    <t>h / ano</t>
  </si>
  <si>
    <t>Valores unitários determinados (atribuidos)</t>
  </si>
  <si>
    <t>Cto (€/un)</t>
  </si>
  <si>
    <t xml:space="preserve">Rega (MO) </t>
  </si>
  <si>
    <t>EFICIÊNCIAS DE CAMPO E VELOCIDADES DE TRABALHO</t>
  </si>
  <si>
    <t>70 - 85</t>
  </si>
  <si>
    <t xml:space="preserve">75 - 90 </t>
  </si>
  <si>
    <t>5.0 - 8.0</t>
  </si>
  <si>
    <t xml:space="preserve">75 - 85  </t>
  </si>
  <si>
    <t>4.0 - 5.0</t>
  </si>
  <si>
    <t xml:space="preserve">75 - 85 </t>
  </si>
  <si>
    <t>75 - 85</t>
  </si>
  <si>
    <t>75 - 90</t>
  </si>
  <si>
    <t>3.0 - 8.0</t>
  </si>
  <si>
    <t>80 - 90</t>
  </si>
  <si>
    <t>2.0 - 4.0</t>
  </si>
  <si>
    <t>65 - 85</t>
  </si>
  <si>
    <t>5.0 - 7.0</t>
  </si>
  <si>
    <t>70 - 90</t>
  </si>
  <si>
    <t>7.0 - 12.0</t>
  </si>
  <si>
    <t>1.0 - 5.0</t>
  </si>
  <si>
    <t>40 - 50</t>
  </si>
  <si>
    <t>6.0 - 10.0</t>
  </si>
  <si>
    <t>50 - 75</t>
  </si>
  <si>
    <t>45 - 65</t>
  </si>
  <si>
    <t>7.0 - 10.0</t>
  </si>
  <si>
    <t>3.0 - 5.0</t>
  </si>
  <si>
    <t>4.0 - 6.0</t>
  </si>
  <si>
    <t>55 - 65</t>
  </si>
  <si>
    <t>40 - 60</t>
  </si>
  <si>
    <t>65 - 80</t>
  </si>
  <si>
    <t>4.0 - 9.0</t>
  </si>
  <si>
    <t>60 - 80</t>
  </si>
  <si>
    <t>3.0 - 10.0</t>
  </si>
  <si>
    <t>65 - 75</t>
  </si>
  <si>
    <t>45 - 55</t>
  </si>
  <si>
    <t>45 - 60</t>
  </si>
  <si>
    <t>3.0 - 6.0</t>
  </si>
  <si>
    <t>55 - 70</t>
  </si>
  <si>
    <t>3.5 - 5.0</t>
  </si>
  <si>
    <t>3.0 - 7.0</t>
  </si>
  <si>
    <t>55 - 75</t>
  </si>
  <si>
    <t>65 - 90</t>
  </si>
  <si>
    <t>6.0 - 8.0</t>
  </si>
  <si>
    <t>4 - 12</t>
  </si>
  <si>
    <t>&lt;</t>
  </si>
  <si>
    <t>Milho Silagem</t>
  </si>
  <si>
    <t>€ /un</t>
  </si>
  <si>
    <t>Silo (€/m2)</t>
  </si>
  <si>
    <t>Outras receitas (€)</t>
  </si>
  <si>
    <t>MB (RB-CV):</t>
  </si>
  <si>
    <t>Ec (%) Usual</t>
  </si>
  <si>
    <t>Ec (%) Escolhido</t>
  </si>
  <si>
    <t>Vel. (km/h) Usual</t>
  </si>
  <si>
    <t>Vel. (km/h) Escolhida</t>
  </si>
  <si>
    <t>10 - 20</t>
  </si>
  <si>
    <t>4.5 - 7.0</t>
  </si>
  <si>
    <t>2.5 - 3.5</t>
  </si>
  <si>
    <t>1.5 - 3.5</t>
  </si>
  <si>
    <t>5.5 - 9.0</t>
  </si>
  <si>
    <t xml:space="preserve">1.5 - 2.5 </t>
  </si>
  <si>
    <t>1.5 - 2.5</t>
  </si>
  <si>
    <t>3.5 - 4.5</t>
  </si>
  <si>
    <t>2.5 - 5.0</t>
  </si>
  <si>
    <t>Trator 53 cv (39 kW)
LinhaNº4 (IHERA)</t>
  </si>
  <si>
    <t>Trator 45 cv (33 kW)
LinhaNº3 (IHERA)</t>
  </si>
  <si>
    <t>Trator 27 cv (20 kW)
LinhaNº1 (IHERA)</t>
  </si>
  <si>
    <t>Potência (cv)</t>
  </si>
  <si>
    <t>Vida útil (anos)</t>
  </si>
  <si>
    <t>Veloc.
Km/h</t>
  </si>
  <si>
    <t>Ef. Cp
(%)</t>
  </si>
  <si>
    <t xml:space="preserve">   Charrua de aivecas</t>
  </si>
  <si>
    <t xml:space="preserve">   Charrua de discos </t>
  </si>
  <si>
    <t xml:space="preserve">   Derregador de 3 ferros</t>
  </si>
  <si>
    <t xml:space="preserve">   Desbastador</t>
  </si>
  <si>
    <t xml:space="preserve">   Enxada mecânica </t>
  </si>
  <si>
    <t xml:space="preserve">   Escarificador</t>
  </si>
  <si>
    <t xml:space="preserve">   Vibrocultor </t>
  </si>
  <si>
    <t xml:space="preserve">   Fresa </t>
  </si>
  <si>
    <t xml:space="preserve">   Grades de dentes e de molas</t>
  </si>
  <si>
    <t xml:space="preserve">   Grades de discos </t>
  </si>
  <si>
    <t xml:space="preserve">   Rolo</t>
  </si>
  <si>
    <t xml:space="preserve">   Sachador</t>
  </si>
  <si>
    <t xml:space="preserve">   Sachador rotativo </t>
  </si>
  <si>
    <t xml:space="preserve">   Subsolador </t>
  </si>
  <si>
    <t xml:space="preserve">   Dístribuidor centrífugo</t>
  </si>
  <si>
    <t xml:space="preserve">   Dístribuidor centrífugo de distribuição a granel</t>
  </si>
  <si>
    <t xml:space="preserve">   Dístribuidor centrífugo clássico</t>
  </si>
  <si>
    <t xml:space="preserve">   Espalhadores de estrume </t>
  </si>
  <si>
    <t xml:space="preserve">   Distribuidores de estrume</t>
  </si>
  <si>
    <t xml:space="preserve">   Plantador de batata de alimentação manual</t>
  </si>
  <si>
    <t xml:space="preserve">   Plantador de batata de alimentação automática  </t>
  </si>
  <si>
    <t xml:space="preserve">   Polvilhadores</t>
  </si>
  <si>
    <t xml:space="preserve">   Semeador em linhas (semente miúda)</t>
  </si>
  <si>
    <t xml:space="preserve">   Semeador de precisão (monogrão)</t>
  </si>
  <si>
    <t xml:space="preserve">   Transplantadores</t>
  </si>
  <si>
    <t xml:space="preserve">   Arrancador de batatas</t>
  </si>
  <si>
    <t xml:space="preserve">   Arrancador-carregador de batatas</t>
  </si>
  <si>
    <t xml:space="preserve">   Arrancador de beterrabas</t>
  </si>
  <si>
    <t xml:space="preserve">   Arrancador-carregador de beterrabas </t>
  </si>
  <si>
    <t xml:space="preserve">   Ceifeira-debulhadora automotriz  </t>
  </si>
  <si>
    <t xml:space="preserve">   Ceifeira-debulhadora rebocada </t>
  </si>
  <si>
    <t xml:space="preserve">   Colhedor-descamisador de milho</t>
  </si>
  <si>
    <t xml:space="preserve">   Colhedor-recortador de forragens </t>
  </si>
  <si>
    <t xml:space="preserve">   Enfardadeira em feno</t>
  </si>
  <si>
    <t xml:space="preserve">   Enfardadeira de palha </t>
  </si>
  <si>
    <t xml:space="preserve">   Virador</t>
  </si>
  <si>
    <t xml:space="preserve">   Virador-juntador </t>
  </si>
  <si>
    <t xml:space="preserve">   Em carga </t>
  </si>
  <si>
    <t xml:space="preserve">   Sem carga </t>
  </si>
  <si>
    <t>Adaptado de: C. CULPIN    Profitable Farm Mechanization; D. HUNT    Farm Power and Machinery Management; P. CANDELON    Les Machines Agricoles; F. C. CARY    Tempos-Padrões de Trabalho para Culturas Arvenses de Sequeiro no Alto Alentejo; Catálogos e especificações de fabricantes de material agrícola; CNEMMA    Livre du Maitre    Tome 3</t>
  </si>
  <si>
    <t xml:space="preserve">   Pulverizadores</t>
  </si>
  <si>
    <t xml:space="preserve">3- MÁQUINAS DE COLHEITA </t>
  </si>
  <si>
    <t>4- TRANSPORTES</t>
  </si>
  <si>
    <t>2- MÁQUINAS DE SEMENTEIRA. FERTILIZAÇÃO. DEFESA E PROTECÇÃO DAS CULTURAS</t>
  </si>
  <si>
    <t xml:space="preserve">1- MÁQUINAS DE PREPARAÇÃO E TRABALHO DO TERRENO </t>
  </si>
  <si>
    <t xml:space="preserve">   Colhedor de forragens (milho e erva)</t>
  </si>
  <si>
    <t>2.0 - 6.0</t>
  </si>
  <si>
    <t>Manut. (€/h) (inclui MO)
(% da reparação)</t>
  </si>
  <si>
    <t>Fcr*</t>
  </si>
  <si>
    <t>(h/cult)</t>
  </si>
  <si>
    <t xml:space="preserve">Fcr*- O fator de correção permite estimar o nº de h/ano de utilização do equipamento na exploração; neste caso considerou-se + 5 ha. </t>
  </si>
  <si>
    <t>h/ha</t>
  </si>
  <si>
    <t>h/cult</t>
  </si>
  <si>
    <t>Ft 
Correcao</t>
  </si>
  <si>
    <t>Nº
Pasagens</t>
  </si>
  <si>
    <t>Área da cultura (ha)</t>
  </si>
  <si>
    <t>Manute</t>
  </si>
  <si>
    <t>(%Rep)</t>
  </si>
  <si>
    <t>Reboque 
(colh X transp)</t>
  </si>
  <si>
    <t>E.F + E.V.(h)</t>
  </si>
  <si>
    <t>E.F + E.V.(ha)</t>
  </si>
  <si>
    <t>Charrua de 1F  (Tr 45 cv)
LinhaNº19 (IHERA)</t>
  </si>
  <si>
    <t>Charrua de 2F (Tr 53 cv)
LinhaNº24 (IHERA)</t>
  </si>
  <si>
    <t>Grad.discos  (Tr 53 cv)
LinhaNº45 (IHERA)</t>
  </si>
  <si>
    <t>PJP 300 l  (Tr 45 cv)
LinhaNº125 (IHERA)</t>
  </si>
  <si>
    <t>Vibrocultor  (Tr 45 cv)
LinhaNº84 (IHERA)</t>
  </si>
  <si>
    <t>Sem.Mono (Tr 53 cv)
LinhaNº117 (IHERA)</t>
  </si>
  <si>
    <t>Derreg.  (Tr 53 cv)
LinhaNº100 (IHERA)</t>
  </si>
  <si>
    <t>Col.Milho (1 linha)  (Tr 53 cv)
LinhaNº148 (IHERA)</t>
  </si>
  <si>
    <t>Semi-R. 5000 kg  (Tr 53 cv)
LinhaNº164 (IHERA)</t>
  </si>
  <si>
    <t>Semi-R. 5000 kg  (Tr 45 cv)
LinhaNº164 (IHERA)</t>
  </si>
  <si>
    <t>Calagem</t>
  </si>
  <si>
    <t>Dist.Cent (calcario) (Tr 45 cv)
LinhaNº105 (IHERA)</t>
  </si>
  <si>
    <t>Dist.Cent (adubo) (Tr 45 cv)
LinhaNº105 (IHERA)</t>
  </si>
  <si>
    <t>Custos das várias operações culturais</t>
  </si>
  <si>
    <t>Ct/ano(Eq)</t>
  </si>
  <si>
    <t>Ct/ano(oc)</t>
  </si>
  <si>
    <t>TOTAL 
Trator+Equip.</t>
  </si>
  <si>
    <t>-</t>
  </si>
  <si>
    <t xml:space="preserve">Capacidade dos reboques 
(ton) </t>
  </si>
  <si>
    <t>Transporte Silagem 
(1 trajeto (h) e h/ha)</t>
  </si>
  <si>
    <t>(€/ano)</t>
  </si>
  <si>
    <t>Área</t>
  </si>
  <si>
    <t>Utilização
anual</t>
  </si>
  <si>
    <t>Utilização
cultura</t>
  </si>
  <si>
    <t>h / cult</t>
  </si>
  <si>
    <t>Peso de 1 m3 de silagem (kg)</t>
  </si>
  <si>
    <t>MO
Eq
Tr</t>
  </si>
  <si>
    <t>Adubo 3 (N) 
(kg)</t>
  </si>
  <si>
    <t>Adubo 2 (K2O)
(kg)</t>
  </si>
  <si>
    <t>Adubo 1 (N) 
(kg)</t>
  </si>
  <si>
    <t>Pesticida 2 
(L)</t>
  </si>
  <si>
    <t>Pesticida 1 
(L)</t>
  </si>
  <si>
    <t>Herbicida 
(L)</t>
  </si>
  <si>
    <t>Sementes 1
(kg)</t>
  </si>
  <si>
    <t>Sementes 2
(kg)</t>
  </si>
  <si>
    <t>Cálcareo
(kg)</t>
  </si>
  <si>
    <t>Totais &gt;</t>
  </si>
  <si>
    <t>Reboques</t>
  </si>
  <si>
    <t>Salário 
(€/mês)</t>
  </si>
  <si>
    <t xml:space="preserve">h / ano </t>
  </si>
  <si>
    <t>Sg. Social
(%)</t>
  </si>
  <si>
    <t>Sal+SS 
(€/mês)</t>
  </si>
  <si>
    <t>Salário 
(€/ano)</t>
  </si>
  <si>
    <t>Cto/h
(€/h)</t>
  </si>
  <si>
    <t>Tratoristas (2)</t>
  </si>
  <si>
    <t>Tratorista (silagem)
(Trab. permanente)</t>
  </si>
  <si>
    <t>Silo_MO (nº de pessoas)</t>
  </si>
  <si>
    <t>Tp de calcamento no silo (h)</t>
  </si>
  <si>
    <t>Silo_Plástico (kg/ha)</t>
  </si>
  <si>
    <t>Silo_Sal (kg/ha)</t>
  </si>
  <si>
    <t>Tr 3</t>
  </si>
  <si>
    <t>Tratorista 3
(exterior)</t>
  </si>
  <si>
    <t>N_Ref</t>
  </si>
  <si>
    <t>N_Atr</t>
  </si>
  <si>
    <t>Nº Atr</t>
  </si>
  <si>
    <t>Nº Ref</t>
  </si>
  <si>
    <t>Custo da UF (€/UF)</t>
  </si>
  <si>
    <t>UF (kg de MS)</t>
  </si>
  <si>
    <t>Custo da silagem (€/kg)</t>
  </si>
  <si>
    <t>0.10 - 0.15</t>
  </si>
  <si>
    <t>5.8</t>
  </si>
  <si>
    <t>40</t>
  </si>
  <si>
    <t>750 - 800</t>
  </si>
  <si>
    <t>0</t>
  </si>
  <si>
    <t>0.25 - 30</t>
  </si>
  <si>
    <t>0.70 - 0.80</t>
  </si>
  <si>
    <t>€ / kg_Sil:</t>
  </si>
  <si>
    <t>Teor de MS da silagem (%)</t>
  </si>
  <si>
    <t>- &gt;</t>
  </si>
  <si>
    <t>Lucro/perda:
(RB-CT)</t>
  </si>
  <si>
    <t>Prod. (kg_Sil):</t>
  </si>
  <si>
    <t>Prod (UF_Sil):</t>
  </si>
  <si>
    <t>Produção Final
Custo</t>
  </si>
  <si>
    <t>Custo kg/concentrado (€)</t>
  </si>
  <si>
    <t>0.60 - 0.70</t>
  </si>
  <si>
    <t>Terra</t>
  </si>
  <si>
    <t>Gestão</t>
  </si>
  <si>
    <t>Cto da terra (€)</t>
  </si>
  <si>
    <t>Ocupação
(%)</t>
  </si>
  <si>
    <t>20000 - 25000</t>
  </si>
  <si>
    <t>Cto 
(€/h_ano)</t>
  </si>
  <si>
    <t>Cto 
(€/ha_ano)</t>
  </si>
  <si>
    <t>Cto 
(€/Un)</t>
  </si>
  <si>
    <t>Cto 
(€/ha)</t>
  </si>
  <si>
    <t>CtoTotal 
(€)</t>
  </si>
  <si>
    <t>Cto 
(€/Ano)</t>
  </si>
  <si>
    <t>Total 
(€/ha)</t>
  </si>
  <si>
    <t>Total 
(€)</t>
  </si>
  <si>
    <t>Total 
(h)</t>
  </si>
  <si>
    <t>(kg_UF)</t>
  </si>
  <si>
    <t>Nº
pessoas</t>
  </si>
  <si>
    <t>Trab. Permanentes (rega)</t>
  </si>
  <si>
    <t xml:space="preserve">Tratorista (silagem)
MO especializada </t>
  </si>
  <si>
    <t>Cto 
(€/ano)</t>
  </si>
  <si>
    <t>Tratores da exploração</t>
  </si>
  <si>
    <t>Ct/ano(Tr)</t>
  </si>
  <si>
    <t>CTt(€)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</si>
</sst>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0.0"/>
    <numFmt numFmtId="182" formatCode="0.000"/>
  </numFmts>
  <fonts count="28" x14ac:knownFonts="1">
    <font>
      <sz val="10"/>
      <name val="MS Sans Serif"/>
    </font>
    <font>
      <b/>
      <sz val="10"/>
      <name val="MS Sans Serif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MS Sans Serif"/>
    </font>
    <font>
      <sz val="8"/>
      <name val="MS Sans Serif"/>
      <family val="2"/>
    </font>
    <font>
      <sz val="11"/>
      <name val="Arial"/>
      <family val="2"/>
    </font>
    <font>
      <b/>
      <sz val="12"/>
      <name val="MS Sans Serif"/>
    </font>
    <font>
      <b/>
      <sz val="11"/>
      <name val="Arial"/>
      <family val="2"/>
    </font>
    <font>
      <b/>
      <sz val="12"/>
      <name val="Arial"/>
      <family val="2"/>
    </font>
    <font>
      <u/>
      <sz val="10"/>
      <color theme="10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1">
    <xf numFmtId="0" fontId="0" fillId="0" borderId="0" xfId="0"/>
    <xf numFmtId="1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quotePrefix="1" applyNumberFormat="1" applyFont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1" fontId="3" fillId="0" borderId="0" xfId="0" applyNumberFormat="1" applyFont="1" applyBorder="1" applyAlignment="1">
      <alignment horizontal="center" vertical="center"/>
    </xf>
    <xf numFmtId="181" fontId="15" fillId="0" borderId="0" xfId="0" applyNumberFormat="1" applyFont="1" applyBorder="1" applyAlignment="1">
      <alignment horizontal="center" vertical="center"/>
    </xf>
    <xf numFmtId="181" fontId="1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 applyProtection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82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18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 applyProtection="1">
      <alignment horizontal="center"/>
    </xf>
    <xf numFmtId="1" fontId="6" fillId="0" borderId="0" xfId="0" applyNumberFormat="1" applyFont="1" applyFill="1" applyAlignment="1" applyProtection="1">
      <alignment horizontal="center"/>
    </xf>
    <xf numFmtId="0" fontId="0" fillId="0" borderId="0" xfId="0" applyFill="1"/>
    <xf numFmtId="2" fontId="5" fillId="0" borderId="0" xfId="0" applyNumberFormat="1" applyFont="1" applyFill="1" applyAlignment="1" applyProtection="1">
      <alignment horizontal="center"/>
    </xf>
    <xf numFmtId="1" fontId="5" fillId="0" borderId="0" xfId="0" applyNumberFormat="1" applyFont="1" applyFill="1" applyAlignment="1">
      <alignment horizontal="center"/>
    </xf>
    <xf numFmtId="182" fontId="5" fillId="0" borderId="0" xfId="0" applyNumberFormat="1" applyFont="1" applyFill="1" applyAlignment="1" applyProtection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 applyProtection="1">
      <alignment horizontal="center"/>
    </xf>
    <xf numFmtId="182" fontId="3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81" fontId="7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1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" fontId="5" fillId="0" borderId="0" xfId="0" applyNumberFormat="1" applyFont="1" applyFill="1" applyAlignment="1" applyProtection="1">
      <alignment horizontal="center" vertical="center"/>
    </xf>
    <xf numFmtId="181" fontId="5" fillId="0" borderId="0" xfId="0" applyNumberFormat="1" applyFont="1" applyFill="1" applyAlignment="1" applyProtection="1">
      <alignment horizontal="center" vertical="center"/>
    </xf>
    <xf numFmtId="1" fontId="5" fillId="0" borderId="0" xfId="0" applyNumberFormat="1" applyFont="1" applyFill="1" applyAlignment="1" applyProtection="1">
      <alignment horizontal="center" vertical="center"/>
    </xf>
    <xf numFmtId="1" fontId="5" fillId="2" borderId="0" xfId="0" applyNumberFormat="1" applyFont="1" applyFill="1" applyAlignment="1" applyProtection="1">
      <alignment horizontal="center" vertical="center"/>
    </xf>
    <xf numFmtId="1" fontId="5" fillId="3" borderId="0" xfId="0" applyNumberFormat="1" applyFont="1" applyFill="1" applyAlignment="1" applyProtection="1">
      <alignment horizontal="center" vertical="center"/>
    </xf>
    <xf numFmtId="182" fontId="5" fillId="0" borderId="0" xfId="0" applyNumberFormat="1" applyFont="1" applyFill="1" applyAlignment="1" applyProtection="1">
      <alignment horizontal="center" vertical="center"/>
    </xf>
    <xf numFmtId="1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181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4" fillId="0" borderId="0" xfId="1" applyAlignment="1">
      <alignment horizontal="center" vertical="center"/>
    </xf>
    <xf numFmtId="2" fontId="14" fillId="0" borderId="0" xfId="1" applyNumberFormat="1" applyAlignment="1" applyProtection="1">
      <alignment horizontal="center" vertical="center"/>
    </xf>
    <xf numFmtId="1" fontId="14" fillId="0" borderId="0" xfId="1" applyNumberFormat="1" applyAlignment="1" applyProtection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181" fontId="2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/>
    </xf>
    <xf numFmtId="181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2" fontId="20" fillId="0" borderId="0" xfId="0" applyNumberFormat="1" applyFont="1" applyBorder="1" applyAlignment="1">
      <alignment horizontal="center" vertical="center"/>
    </xf>
    <xf numFmtId="181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2" fontId="18" fillId="0" borderId="0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81" fontId="2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2" fillId="0" borderId="0" xfId="1" applyFont="1" applyBorder="1" applyAlignment="1">
      <alignment horizontal="center" vertical="center"/>
    </xf>
    <xf numFmtId="0" fontId="3" fillId="0" borderId="0" xfId="0" applyFont="1" applyBorder="1"/>
    <xf numFmtId="0" fontId="23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justify" vertical="center" wrapText="1"/>
    </xf>
    <xf numFmtId="0" fontId="21" fillId="0" borderId="0" xfId="0" applyFont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16" fontId="3" fillId="0" borderId="0" xfId="0" quotePrefix="1" applyNumberFormat="1" applyFont="1" applyBorder="1" applyAlignment="1">
      <alignment horizontal="center" vertical="center" wrapText="1"/>
    </xf>
    <xf numFmtId="17" fontId="21" fillId="0" borderId="0" xfId="0" quotePrefix="1" applyNumberFormat="1" applyFont="1" applyBorder="1" applyAlignment="1">
      <alignment horizontal="center" vertical="center" wrapText="1"/>
    </xf>
    <xf numFmtId="181" fontId="3" fillId="0" borderId="0" xfId="0" applyNumberFormat="1" applyFont="1" applyBorder="1" applyAlignment="1">
      <alignment horizontal="center"/>
    </xf>
    <xf numFmtId="181" fontId="15" fillId="0" borderId="0" xfId="0" applyNumberFormat="1" applyFont="1" applyBorder="1" applyAlignment="1">
      <alignment horizontal="center"/>
    </xf>
    <xf numFmtId="181" fontId="3" fillId="0" borderId="0" xfId="0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182" fontId="24" fillId="0" borderId="0" xfId="0" applyNumberFormat="1" applyFont="1" applyFill="1" applyAlignment="1">
      <alignment horizontal="center" vertical="center"/>
    </xf>
    <xf numFmtId="2" fontId="24" fillId="0" borderId="0" xfId="0" applyNumberFormat="1" applyFont="1" applyFill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81" fontId="5" fillId="0" borderId="0" xfId="0" applyNumberFormat="1" applyFont="1" applyFill="1" applyAlignment="1">
      <alignment horizontal="left" vertical="center"/>
    </xf>
    <xf numFmtId="2" fontId="2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0" fillId="0" borderId="0" xfId="0" applyNumberFormat="1"/>
    <xf numFmtId="1" fontId="5" fillId="4" borderId="0" xfId="0" applyNumberFormat="1" applyFont="1" applyFill="1" applyAlignment="1" applyProtection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vertical="center"/>
    </xf>
    <xf numFmtId="1" fontId="3" fillId="0" borderId="0" xfId="0" applyNumberFormat="1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horizontal="center" vertical="center"/>
    </xf>
    <xf numFmtId="181" fontId="7" fillId="2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1" fontId="7" fillId="0" borderId="0" xfId="0" applyNumberFormat="1" applyFont="1" applyFill="1" applyAlignment="1" applyProtection="1">
      <alignment horizontal="center" vertical="center" wrapText="1"/>
    </xf>
    <xf numFmtId="2" fontId="25" fillId="0" borderId="0" xfId="0" applyNumberFormat="1" applyFont="1" applyFill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181" fontId="3" fillId="0" borderId="0" xfId="0" applyNumberFormat="1" applyFont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2" fontId="18" fillId="0" borderId="0" xfId="0" quotePrefix="1" applyNumberFormat="1" applyFont="1" applyBorder="1" applyAlignment="1">
      <alignment horizontal="left" vertical="center"/>
    </xf>
    <xf numFmtId="1" fontId="18" fillId="0" borderId="0" xfId="0" quotePrefix="1" applyNumberFormat="1" applyFont="1" applyBorder="1" applyAlignment="1">
      <alignment horizontal="left" vertical="center"/>
    </xf>
    <xf numFmtId="181" fontId="7" fillId="0" borderId="0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18" fillId="0" borderId="0" xfId="0" quotePrefix="1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21" fillId="0" borderId="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182" fontId="3" fillId="0" borderId="0" xfId="0" applyNumberFormat="1" applyFont="1" applyAlignment="1">
      <alignment horizontal="center" vertical="center"/>
    </xf>
    <xf numFmtId="0" fontId="0" fillId="0" borderId="0" xfId="0" quotePrefix="1"/>
    <xf numFmtId="181" fontId="15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81" fontId="12" fillId="4" borderId="0" xfId="0" applyNumberFormat="1" applyFont="1" applyFill="1" applyBorder="1" applyAlignment="1">
      <alignment horizontal="center" vertical="center"/>
    </xf>
    <xf numFmtId="181" fontId="10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81" fontId="17" fillId="5" borderId="0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1" fontId="4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/>
    <xf numFmtId="1" fontId="4" fillId="0" borderId="0" xfId="0" applyNumberFormat="1" applyFont="1" applyFill="1" applyAlignment="1" applyProtection="1">
      <alignment horizontal="center"/>
    </xf>
    <xf numFmtId="0" fontId="0" fillId="0" borderId="0" xfId="0" applyFont="1" applyAlignment="1">
      <alignment horizontal="center"/>
    </xf>
    <xf numFmtId="1" fontId="6" fillId="0" borderId="0" xfId="0" applyNumberFormat="1" applyFont="1" applyFill="1" applyAlignment="1" applyProtection="1">
      <alignment horizontal="center" vertical="center"/>
    </xf>
    <xf numFmtId="1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15" fillId="0" borderId="0" xfId="0" applyFont="1" applyBorder="1" applyAlignment="1">
      <alignment horizontal="left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5.3104754310774448E-3"/>
          <c:y val="3.240740740740740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Cto_Trat!$B$48</c:f>
              <c:strCache>
                <c:ptCount val="1"/>
                <c:pt idx="0">
                  <c:v>(€/h)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Cto_Trat!$A$49:$A$52</c:f>
              <c:numCache>
                <c:formatCode>0</c:formatCode>
                <c:ptCount val="4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</c:numCache>
            </c:numRef>
          </c:xVal>
          <c:yVal>
            <c:numRef>
              <c:f>Cto_Trat!$B$49:$B$52</c:f>
              <c:numCache>
                <c:formatCode>0.00</c:formatCode>
                <c:ptCount val="4"/>
                <c:pt idx="0">
                  <c:v>24.621940000000002</c:v>
                </c:pt>
                <c:pt idx="1">
                  <c:v>22.262148333333336</c:v>
                </c:pt>
                <c:pt idx="2">
                  <c:v>20.846273333333333</c:v>
                </c:pt>
                <c:pt idx="3">
                  <c:v>19.902356666666666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2-43FD-BD76-18FE75A47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718792"/>
        <c:axId val="1"/>
      </c:scatterChart>
      <c:valAx>
        <c:axId val="328718792"/>
        <c:scaling>
          <c:orientation val="minMax"/>
          <c:max val="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87187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Calendário</a:t>
            </a:r>
            <a:r>
              <a:rPr lang="pt-PT" baseline="0"/>
              <a:t> cultural da cultura do milho</a:t>
            </a:r>
            <a:endParaRPr lang="pt-PT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Cal_Cult!$C$1:$AL$1</c:f>
              <c:strCache>
                <c:ptCount val="36"/>
                <c:pt idx="0">
                  <c:v>j1</c:v>
                </c:pt>
                <c:pt idx="1">
                  <c:v>j2</c:v>
                </c:pt>
                <c:pt idx="2">
                  <c:v>j3</c:v>
                </c:pt>
                <c:pt idx="3">
                  <c:v>f1</c:v>
                </c:pt>
                <c:pt idx="4">
                  <c:v>f2</c:v>
                </c:pt>
                <c:pt idx="5">
                  <c:v>f3</c:v>
                </c:pt>
                <c:pt idx="6">
                  <c:v>m1</c:v>
                </c:pt>
                <c:pt idx="7">
                  <c:v>m2</c:v>
                </c:pt>
                <c:pt idx="8">
                  <c:v>m3</c:v>
                </c:pt>
                <c:pt idx="9">
                  <c:v>a1</c:v>
                </c:pt>
                <c:pt idx="10">
                  <c:v>a2</c:v>
                </c:pt>
                <c:pt idx="11">
                  <c:v>a3</c:v>
                </c:pt>
                <c:pt idx="12">
                  <c:v>m1</c:v>
                </c:pt>
                <c:pt idx="13">
                  <c:v>m2</c:v>
                </c:pt>
                <c:pt idx="14">
                  <c:v>m3</c:v>
                </c:pt>
                <c:pt idx="15">
                  <c:v>j1</c:v>
                </c:pt>
                <c:pt idx="16">
                  <c:v>j2</c:v>
                </c:pt>
                <c:pt idx="17">
                  <c:v>j3</c:v>
                </c:pt>
                <c:pt idx="18">
                  <c:v>j1</c:v>
                </c:pt>
                <c:pt idx="19">
                  <c:v>j2</c:v>
                </c:pt>
                <c:pt idx="20">
                  <c:v>j3</c:v>
                </c:pt>
                <c:pt idx="21">
                  <c:v>a1</c:v>
                </c:pt>
                <c:pt idx="22">
                  <c:v>a2</c:v>
                </c:pt>
                <c:pt idx="23">
                  <c:v>a3</c:v>
                </c:pt>
                <c:pt idx="24">
                  <c:v>s1</c:v>
                </c:pt>
                <c:pt idx="25">
                  <c:v>s2</c:v>
                </c:pt>
                <c:pt idx="26">
                  <c:v>s3</c:v>
                </c:pt>
                <c:pt idx="27">
                  <c:v>o1</c:v>
                </c:pt>
                <c:pt idx="28">
                  <c:v>o2</c:v>
                </c:pt>
                <c:pt idx="29">
                  <c:v>o3</c:v>
                </c:pt>
                <c:pt idx="30">
                  <c:v>n1</c:v>
                </c:pt>
                <c:pt idx="31">
                  <c:v>n2</c:v>
                </c:pt>
                <c:pt idx="32">
                  <c:v>n3</c:v>
                </c:pt>
                <c:pt idx="33">
                  <c:v>d1</c:v>
                </c:pt>
                <c:pt idx="34">
                  <c:v>d2</c:v>
                </c:pt>
                <c:pt idx="35">
                  <c:v>d3</c:v>
                </c:pt>
              </c:strCache>
            </c:strRef>
          </c:cat>
          <c:val>
            <c:numRef>
              <c:f>Cal_Cult!$C$22:$AL$22</c:f>
              <c:numCache>
                <c:formatCode>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1.6111111111111112</c:v>
                </c:pt>
                <c:pt idx="13">
                  <c:v>34.995847921607194</c:v>
                </c:pt>
                <c:pt idx="14">
                  <c:v>26.528050108932462</c:v>
                </c:pt>
                <c:pt idx="15">
                  <c:v>5.0347222222222223</c:v>
                </c:pt>
                <c:pt idx="16">
                  <c:v>0</c:v>
                </c:pt>
                <c:pt idx="17">
                  <c:v>0</c:v>
                </c:pt>
                <c:pt idx="18">
                  <c:v>8.0555555555555554</c:v>
                </c:pt>
                <c:pt idx="19">
                  <c:v>116</c:v>
                </c:pt>
                <c:pt idx="20">
                  <c:v>0</c:v>
                </c:pt>
                <c:pt idx="21">
                  <c:v>0</c:v>
                </c:pt>
                <c:pt idx="22">
                  <c:v>116</c:v>
                </c:pt>
                <c:pt idx="23">
                  <c:v>0</c:v>
                </c:pt>
                <c:pt idx="24">
                  <c:v>0</c:v>
                </c:pt>
                <c:pt idx="25">
                  <c:v>217.5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8-4D71-96D6-46F5E36A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64152"/>
        <c:axId val="1"/>
      </c:barChart>
      <c:catAx>
        <c:axId val="3296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9664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47</xdr:row>
      <xdr:rowOff>30480</xdr:rowOff>
    </xdr:from>
    <xdr:to>
      <xdr:col>10</xdr:col>
      <xdr:colOff>525780</xdr:colOff>
      <xdr:row>64</xdr:row>
      <xdr:rowOff>15240</xdr:rowOff>
    </xdr:to>
    <xdr:graphicFrame macro="">
      <xdr:nvGraphicFramePr>
        <xdr:cNvPr id="564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0.21491</cdr:x>
      <cdr:y>0.12737</cdr:y>
    </cdr:from>
    <cdr:to>
      <cdr:x>0.39244</cdr:x>
      <cdr:y>0.46141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81101" y="3190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0.14125</cdr:x>
      <cdr:y>0.0191</cdr:y>
    </cdr:from>
    <cdr:to>
      <cdr:x>0.92106</cdr:x>
      <cdr:y>0.17397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90576" y="52388"/>
          <a:ext cx="40195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Custo (€/h) do trator em função da intensidade de utilização anual</a:t>
          </a:r>
          <a:endParaRPr lang="pt-PT">
            <a:effectLst/>
          </a:endParaRPr>
        </a:p>
        <a:p xmlns:a="http://schemas.openxmlformats.org/drawingml/2006/main"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trator de 53 cv</a:t>
          </a:r>
          <a:endParaRPr lang="pt-PT">
            <a:effectLst/>
          </a:endParaRPr>
        </a:p>
        <a:p xmlns:a="http://schemas.openxmlformats.org/drawingml/2006/main">
          <a:pPr algn="ctr"/>
          <a:endParaRPr lang="pt-P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23</xdr:row>
      <xdr:rowOff>236220</xdr:rowOff>
    </xdr:from>
    <xdr:to>
      <xdr:col>38</xdr:col>
      <xdr:colOff>708660</xdr:colOff>
      <xdr:row>47</xdr:row>
      <xdr:rowOff>144780</xdr:rowOff>
    </xdr:to>
    <xdr:graphicFrame macro="">
      <xdr:nvGraphicFramePr>
        <xdr:cNvPr id="3790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8102"/>
          <a:ext cx="914400" cy="321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100"/>
            <a:t>h/ano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CC_Milho_UTAD_Li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t_Cto_Eq"/>
      <sheetName val="Cto_Trat"/>
      <sheetName val="Cto_OpCt"/>
      <sheetName val="Cto_Milho"/>
      <sheetName val="IHERA_Trat"/>
      <sheetName val="IHER_Equip"/>
      <sheetName val="Vel_Ec"/>
    </sheetNames>
    <sheetDataSet>
      <sheetData sheetId="0" refreshError="1">
        <row r="1">
          <cell r="A1" t="str">
            <v>Milho Silagem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3"/>
  <sheetViews>
    <sheetView tabSelected="1" zoomScale="90" zoomScaleNormal="9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N54" sqref="N54"/>
    </sheetView>
  </sheetViews>
  <sheetFormatPr defaultRowHeight="11.4" x14ac:dyDescent="0.25"/>
  <cols>
    <col min="1" max="1" width="23.6640625" style="5" customWidth="1"/>
    <col min="2" max="2" width="14.88671875" style="5" customWidth="1"/>
    <col min="3" max="3" width="11.5546875" style="5" customWidth="1"/>
    <col min="4" max="4" width="11" style="5" customWidth="1"/>
    <col min="5" max="5" width="9.88671875" style="5" customWidth="1"/>
    <col min="6" max="6" width="10.109375" style="5" customWidth="1"/>
    <col min="7" max="7" width="2.33203125" style="5" customWidth="1"/>
    <col min="8" max="8" width="14.33203125" style="5" customWidth="1"/>
    <col min="9" max="9" width="12.33203125" style="5" customWidth="1"/>
    <col min="10" max="10" width="11.109375" style="5" customWidth="1"/>
    <col min="11" max="11" width="9.6640625" style="5" customWidth="1"/>
    <col min="12" max="12" width="10.6640625" style="5" customWidth="1"/>
    <col min="13" max="13" width="8" style="5" customWidth="1"/>
    <col min="14" max="14" width="7" style="9" customWidth="1"/>
    <col min="15" max="15" width="6.88671875" style="8" customWidth="1"/>
    <col min="16" max="16" width="7.33203125" style="5" customWidth="1"/>
    <col min="17" max="17" width="6.88671875" style="5" customWidth="1"/>
    <col min="18" max="18" width="14.6640625" style="5" customWidth="1"/>
    <col min="19" max="16384" width="8.88671875" style="5"/>
  </cols>
  <sheetData>
    <row r="1" spans="1:17" ht="21" customHeight="1" x14ac:dyDescent="0.25">
      <c r="A1" s="95" t="s">
        <v>524</v>
      </c>
      <c r="B1" s="195" t="s">
        <v>440</v>
      </c>
      <c r="C1" s="196"/>
      <c r="D1" s="196"/>
      <c r="E1" s="197"/>
      <c r="F1" s="198"/>
      <c r="G1" s="98"/>
      <c r="H1" s="201" t="s">
        <v>479</v>
      </c>
      <c r="I1" s="202"/>
      <c r="J1" s="202"/>
      <c r="K1" s="202"/>
      <c r="L1" s="198"/>
      <c r="M1" s="198"/>
      <c r="N1" s="198"/>
      <c r="O1" s="198"/>
      <c r="P1" s="198"/>
      <c r="Q1" s="198"/>
    </row>
    <row r="2" spans="1:17" ht="19.95" customHeight="1" x14ac:dyDescent="0.25">
      <c r="A2" s="87" t="s">
        <v>604</v>
      </c>
      <c r="B2" s="165" t="s">
        <v>670</v>
      </c>
      <c r="C2" s="102"/>
      <c r="D2" s="102"/>
      <c r="E2" s="102"/>
      <c r="F2" s="102"/>
      <c r="G2" s="89"/>
      <c r="H2" s="88">
        <v>5.8</v>
      </c>
      <c r="I2" s="89"/>
      <c r="J2" s="89"/>
    </row>
    <row r="3" spans="1:17" ht="19.95" customHeight="1" x14ac:dyDescent="0.25">
      <c r="A3" s="87" t="s">
        <v>82</v>
      </c>
      <c r="B3" s="165" t="s">
        <v>671</v>
      </c>
      <c r="C3" s="102"/>
      <c r="D3" s="102"/>
      <c r="E3" s="102"/>
      <c r="F3" s="102"/>
      <c r="G3" s="89"/>
      <c r="H3" s="88">
        <v>40</v>
      </c>
      <c r="I3" s="89"/>
      <c r="J3" s="89"/>
    </row>
    <row r="4" spans="1:17" ht="19.95" customHeight="1" x14ac:dyDescent="0.25">
      <c r="A4" s="87" t="s">
        <v>635</v>
      </c>
      <c r="B4" s="166" t="s">
        <v>672</v>
      </c>
      <c r="C4" s="102"/>
      <c r="D4" s="102"/>
      <c r="E4" s="102"/>
      <c r="F4" s="102"/>
      <c r="G4" s="89"/>
      <c r="H4" s="161">
        <v>750</v>
      </c>
      <c r="I4" s="89"/>
      <c r="J4" s="89"/>
    </row>
    <row r="5" spans="1:17" ht="19.95" customHeight="1" x14ac:dyDescent="0.25">
      <c r="A5" s="87" t="s">
        <v>77</v>
      </c>
      <c r="B5" s="165" t="s">
        <v>673</v>
      </c>
      <c r="C5" s="102"/>
      <c r="D5" s="102"/>
      <c r="E5" s="102"/>
      <c r="F5" s="102"/>
      <c r="G5" s="89"/>
      <c r="H5" s="161">
        <v>0</v>
      </c>
      <c r="I5" s="89"/>
      <c r="J5" s="89"/>
    </row>
    <row r="6" spans="1:17" ht="19.95" customHeight="1" x14ac:dyDescent="0.25">
      <c r="A6" s="87" t="s">
        <v>668</v>
      </c>
      <c r="B6" s="165" t="s">
        <v>669</v>
      </c>
      <c r="C6" s="102"/>
      <c r="D6" s="102"/>
      <c r="E6" s="102"/>
      <c r="F6" s="102"/>
      <c r="G6" s="89"/>
      <c r="H6" s="88">
        <v>0.12</v>
      </c>
      <c r="I6" s="89"/>
      <c r="J6" s="89"/>
    </row>
    <row r="7" spans="1:17" ht="19.95" customHeight="1" x14ac:dyDescent="0.25">
      <c r="A7" s="87" t="s">
        <v>677</v>
      </c>
      <c r="B7" s="165" t="s">
        <v>674</v>
      </c>
      <c r="C7" s="102"/>
      <c r="D7" s="102"/>
      <c r="E7" s="102"/>
      <c r="F7" s="102"/>
      <c r="G7" s="89"/>
      <c r="H7" s="161">
        <v>30</v>
      </c>
      <c r="I7" s="89"/>
      <c r="J7" s="89"/>
    </row>
    <row r="8" spans="1:17" ht="19.95" customHeight="1" x14ac:dyDescent="0.25">
      <c r="A8" s="87" t="s">
        <v>667</v>
      </c>
      <c r="B8" s="165" t="s">
        <v>675</v>
      </c>
      <c r="C8" s="102"/>
      <c r="D8" s="102"/>
      <c r="E8" s="102"/>
      <c r="F8" s="102"/>
      <c r="G8" s="89"/>
      <c r="H8" s="88">
        <v>0.75</v>
      </c>
      <c r="I8" s="89"/>
      <c r="J8" s="89"/>
    </row>
    <row r="9" spans="1:17" ht="19.95" customHeight="1" x14ac:dyDescent="0.25">
      <c r="A9" s="87" t="s">
        <v>666</v>
      </c>
      <c r="B9" s="165" t="s">
        <v>678</v>
      </c>
      <c r="C9" s="102"/>
      <c r="D9" s="102"/>
      <c r="E9" s="102"/>
      <c r="F9" s="102"/>
      <c r="G9" s="89"/>
      <c r="H9" s="88">
        <f>+H6/((1-(H7/100))*H8)</f>
        <v>0.22857142857142859</v>
      </c>
      <c r="I9" s="89"/>
      <c r="J9" s="89"/>
    </row>
    <row r="10" spans="1:17" ht="19.95" customHeight="1" x14ac:dyDescent="0.25">
      <c r="A10" s="87" t="s">
        <v>683</v>
      </c>
      <c r="B10" s="165" t="s">
        <v>684</v>
      </c>
      <c r="C10" s="102"/>
      <c r="D10" s="102"/>
      <c r="E10" s="102"/>
      <c r="F10" s="102"/>
      <c r="G10" s="89"/>
      <c r="H10" s="88">
        <v>0.6</v>
      </c>
      <c r="I10" s="89"/>
      <c r="J10" s="89"/>
    </row>
    <row r="11" spans="1:17" ht="19.95" customHeight="1" x14ac:dyDescent="0.25">
      <c r="A11" s="87" t="s">
        <v>527</v>
      </c>
      <c r="B11" s="165" t="s">
        <v>673</v>
      </c>
      <c r="C11" s="102"/>
      <c r="D11" s="102"/>
      <c r="E11" s="102"/>
      <c r="F11" s="102"/>
      <c r="G11" s="89"/>
      <c r="H11" s="88">
        <v>0</v>
      </c>
      <c r="I11" s="89"/>
      <c r="J11" s="89"/>
    </row>
    <row r="12" spans="1:17" ht="4.95" customHeight="1" x14ac:dyDescent="0.25">
      <c r="A12" s="90"/>
      <c r="B12" s="102"/>
      <c r="C12" s="102"/>
      <c r="D12" s="102"/>
      <c r="E12" s="102"/>
      <c r="F12" s="102"/>
      <c r="G12" s="89"/>
      <c r="H12" s="89"/>
      <c r="I12" s="89"/>
      <c r="J12" s="89"/>
    </row>
    <row r="13" spans="1:17" ht="30" customHeight="1" x14ac:dyDescent="0.25">
      <c r="A13" s="71" t="s">
        <v>434</v>
      </c>
      <c r="B13" s="103" t="s">
        <v>439</v>
      </c>
      <c r="C13" s="104" t="s">
        <v>437</v>
      </c>
      <c r="D13" s="105" t="s">
        <v>79</v>
      </c>
      <c r="E13" s="105" t="s">
        <v>461</v>
      </c>
      <c r="F13" s="105"/>
      <c r="G13" s="67"/>
      <c r="H13" s="86" t="s">
        <v>441</v>
      </c>
      <c r="I13" s="67" t="s">
        <v>437</v>
      </c>
      <c r="J13" s="67" t="s">
        <v>79</v>
      </c>
      <c r="K13" s="167" t="s">
        <v>461</v>
      </c>
      <c r="L13" s="67" t="s">
        <v>634</v>
      </c>
      <c r="M13" s="67" t="s">
        <v>102</v>
      </c>
    </row>
    <row r="14" spans="1:17" ht="25.2" customHeight="1" x14ac:dyDescent="0.25">
      <c r="A14" s="85" t="s">
        <v>542</v>
      </c>
      <c r="B14" s="106">
        <f>+IHERA_Trat!E9</f>
        <v>24096</v>
      </c>
      <c r="C14" s="107">
        <f>+IHERA_Trat!M9</f>
        <v>5.6635</v>
      </c>
      <c r="D14" s="108">
        <f>+IHERA_Trat!T9</f>
        <v>15.182773333333333</v>
      </c>
      <c r="E14" s="108">
        <f>+C14+D14</f>
        <v>20.846273333333333</v>
      </c>
      <c r="F14" s="108"/>
      <c r="G14" s="14"/>
      <c r="H14" s="94">
        <f>+IHERA_Trat!F9</f>
        <v>24100</v>
      </c>
      <c r="I14" s="14">
        <f>+Cto_Trat!K6</f>
        <v>5.6635</v>
      </c>
      <c r="J14" s="14">
        <f>+Cto_Trat!H36</f>
        <v>15.182773333333333</v>
      </c>
      <c r="K14" s="168">
        <f>+I14+J14</f>
        <v>20.846273333333333</v>
      </c>
      <c r="L14" s="14">
        <f>+Rt_Cto_Eq!K4</f>
        <v>113.84389569675002</v>
      </c>
      <c r="M14" s="3">
        <f>+Rt_Cto_Eq!M4</f>
        <v>500</v>
      </c>
    </row>
    <row r="15" spans="1:17" ht="25.2" customHeight="1" x14ac:dyDescent="0.25">
      <c r="A15" s="85" t="s">
        <v>543</v>
      </c>
      <c r="B15" s="106">
        <f>+IHERA_Trat!E8</f>
        <v>20804</v>
      </c>
      <c r="C15" s="107">
        <f>+IHERA_Trat!M8</f>
        <v>4.9115000000000002</v>
      </c>
      <c r="D15" s="108">
        <f>+IHERA_Trat!T8</f>
        <v>14.498933333333333</v>
      </c>
      <c r="E15" s="108">
        <f>+C15+D15</f>
        <v>19.410433333333334</v>
      </c>
      <c r="F15" s="108"/>
      <c r="G15" s="14"/>
      <c r="H15" s="94">
        <f>+IHERA_Trat!F8</f>
        <v>20900</v>
      </c>
      <c r="I15" s="14">
        <f>+Cto_Trat!K10</f>
        <v>4.9115000000000002</v>
      </c>
      <c r="J15" s="14">
        <f>+Cto_Trat!H40</f>
        <v>14.525600000000001</v>
      </c>
      <c r="K15" s="168">
        <f>+I15+J15</f>
        <v>19.437100000000001</v>
      </c>
      <c r="L15" s="14">
        <f>+Rt_Cto_Eq!K5</f>
        <v>71.131391222678531</v>
      </c>
      <c r="M15" s="3">
        <f>+Rt_Cto_Eq!M5</f>
        <v>500</v>
      </c>
    </row>
    <row r="16" spans="1:17" ht="25.2" customHeight="1" x14ac:dyDescent="0.25">
      <c r="A16" s="85" t="s">
        <v>544</v>
      </c>
      <c r="B16" s="106">
        <f>+IHERA_Trat!E6</f>
        <v>13445</v>
      </c>
      <c r="C16" s="107">
        <f>+IHERA_Trat!M6</f>
        <v>3.1725000000000003</v>
      </c>
      <c r="D16" s="108">
        <f>+IHERA_Trat!T6</f>
        <v>12.938293333333334</v>
      </c>
      <c r="E16" s="108">
        <f>+C16+D16</f>
        <v>16.110793333333334</v>
      </c>
      <c r="F16" s="108"/>
      <c r="G16" s="14"/>
      <c r="H16" s="94">
        <f>+IHERA_Trat!F6</f>
        <v>13500</v>
      </c>
      <c r="I16" s="14">
        <f>+Cto_Trat!K14</f>
        <v>3.1725000000000003</v>
      </c>
      <c r="J16" s="14">
        <f>+Cto_Trat!H44</f>
        <v>13.004960000000001</v>
      </c>
      <c r="K16" s="168">
        <f>+I16+J16</f>
        <v>16.17746</v>
      </c>
      <c r="L16" s="14">
        <f>+Rt_Cto_Eq!K6</f>
        <v>72.5</v>
      </c>
      <c r="M16" s="3">
        <f>+Rt_Cto_Eq!M6</f>
        <v>500</v>
      </c>
    </row>
    <row r="17" spans="1:16" ht="25.2" customHeight="1" x14ac:dyDescent="0.25">
      <c r="A17" s="85"/>
      <c r="B17" s="106"/>
      <c r="C17" s="107"/>
      <c r="D17" s="108"/>
      <c r="E17" s="108"/>
      <c r="F17" s="108"/>
      <c r="G17" s="14"/>
      <c r="H17" s="94"/>
      <c r="I17" s="14"/>
      <c r="J17" s="14"/>
      <c r="K17" s="169" t="s">
        <v>646</v>
      </c>
      <c r="L17" s="14">
        <f>SUM(L14:L16)</f>
        <v>257.47528691942853</v>
      </c>
      <c r="M17" s="14">
        <f>SUM(M14:M16)</f>
        <v>1500</v>
      </c>
    </row>
    <row r="18" spans="1:16" ht="4.95" customHeight="1" x14ac:dyDescent="0.25">
      <c r="A18" s="87"/>
      <c r="B18" s="109"/>
      <c r="C18" s="107"/>
      <c r="D18" s="108"/>
      <c r="E18" s="108"/>
      <c r="F18" s="108"/>
      <c r="G18" s="14"/>
      <c r="H18" s="14"/>
      <c r="I18" s="14"/>
      <c r="J18" s="14"/>
      <c r="K18" s="14"/>
    </row>
    <row r="19" spans="1:16" ht="25.2" customHeight="1" x14ac:dyDescent="0.25">
      <c r="A19" s="71" t="s">
        <v>433</v>
      </c>
      <c r="B19" s="110" t="s">
        <v>405</v>
      </c>
      <c r="C19" s="111" t="s">
        <v>475</v>
      </c>
      <c r="D19" s="111" t="s">
        <v>476</v>
      </c>
      <c r="E19" s="112" t="s">
        <v>442</v>
      </c>
      <c r="F19" s="110"/>
      <c r="G19" s="59"/>
      <c r="H19" s="59" t="s">
        <v>405</v>
      </c>
      <c r="I19" s="60" t="s">
        <v>475</v>
      </c>
      <c r="J19" s="60" t="s">
        <v>476</v>
      </c>
      <c r="K19" s="60" t="s">
        <v>647</v>
      </c>
      <c r="L19" s="67" t="s">
        <v>480</v>
      </c>
      <c r="N19" s="5"/>
      <c r="O19" s="9"/>
      <c r="P19" s="8"/>
    </row>
    <row r="20" spans="1:16" ht="25.2" customHeight="1" x14ac:dyDescent="0.25">
      <c r="A20" s="85" t="s">
        <v>545</v>
      </c>
      <c r="B20" s="107">
        <v>53</v>
      </c>
      <c r="C20" s="108">
        <v>45</v>
      </c>
      <c r="D20" s="108">
        <v>27</v>
      </c>
      <c r="E20" s="114"/>
      <c r="F20" s="107"/>
      <c r="G20" s="17"/>
      <c r="H20" s="17">
        <v>53</v>
      </c>
      <c r="I20" s="14">
        <v>45</v>
      </c>
      <c r="J20" s="14">
        <v>27</v>
      </c>
      <c r="K20" s="14"/>
      <c r="L20" s="136"/>
      <c r="N20" s="5"/>
      <c r="O20" s="9"/>
      <c r="P20" s="8"/>
    </row>
    <row r="21" spans="1:16" ht="25.2" customHeight="1" x14ac:dyDescent="0.25">
      <c r="A21" s="85" t="s">
        <v>546</v>
      </c>
      <c r="B21" s="107">
        <f>+IHERA_Trat!G9</f>
        <v>10</v>
      </c>
      <c r="C21" s="108">
        <f>+IHERA_Trat!G8</f>
        <v>10</v>
      </c>
      <c r="D21" s="108">
        <f>+IHERA_Trat!G6</f>
        <v>10</v>
      </c>
      <c r="E21" s="114"/>
      <c r="F21" s="107"/>
      <c r="G21" s="17"/>
      <c r="H21" s="17">
        <f>+IHERA_Trat!H9</f>
        <v>10</v>
      </c>
      <c r="I21" s="14">
        <f>+IHERA_Trat!H9</f>
        <v>10</v>
      </c>
      <c r="J21" s="14">
        <f>+IHERA_Trat!H9</f>
        <v>10</v>
      </c>
      <c r="K21" s="14">
        <f>+IHER_Equip!H167</f>
        <v>10</v>
      </c>
      <c r="L21" s="136"/>
      <c r="N21" s="5"/>
      <c r="O21" s="9"/>
      <c r="P21" s="8"/>
    </row>
    <row r="22" spans="1:16" ht="25.2" customHeight="1" x14ac:dyDescent="0.25">
      <c r="A22" s="85" t="s">
        <v>102</v>
      </c>
      <c r="B22" s="107">
        <f>+IHERA_Trat!I9</f>
        <v>500</v>
      </c>
      <c r="C22" s="108">
        <f>+IHERA_Trat!I8</f>
        <v>500</v>
      </c>
      <c r="D22" s="108">
        <f>+IHERA_Trat!I6</f>
        <v>500</v>
      </c>
      <c r="E22" s="114"/>
      <c r="F22" s="107"/>
      <c r="G22" s="17"/>
      <c r="H22" s="11">
        <f>+Rt_Cto_Eq!K4</f>
        <v>113.84389569675002</v>
      </c>
      <c r="I22" s="11">
        <f>+Rt_Cto_Eq!K5</f>
        <v>71.131391222678531</v>
      </c>
      <c r="J22" s="11">
        <f>+Rt_Cto_Eq!K6</f>
        <v>72.5</v>
      </c>
      <c r="K22" s="11"/>
      <c r="L22" s="136"/>
      <c r="N22" s="5"/>
      <c r="O22" s="9"/>
      <c r="P22" s="8"/>
    </row>
    <row r="23" spans="1:16" ht="25.2" customHeight="1" x14ac:dyDescent="0.25">
      <c r="A23" s="85" t="s">
        <v>443</v>
      </c>
      <c r="B23" s="113">
        <f>+IHERA_Trat!K3</f>
        <v>5</v>
      </c>
      <c r="C23" s="113">
        <f>+IHERA_Trat!K3</f>
        <v>5</v>
      </c>
      <c r="D23" s="113">
        <f>+IHERA_Trat!K3</f>
        <v>5</v>
      </c>
      <c r="E23" s="114"/>
      <c r="F23" s="113"/>
      <c r="G23" s="93"/>
      <c r="H23" s="93">
        <f>+IHERA_Trat!K2</f>
        <v>3</v>
      </c>
      <c r="I23" s="93">
        <f>+IHERA_Trat!K2</f>
        <v>3</v>
      </c>
      <c r="J23" s="93">
        <f>+IHERA_Trat!K2</f>
        <v>3</v>
      </c>
      <c r="K23" s="93">
        <f>+IHER_Equip!L1</f>
        <v>3</v>
      </c>
      <c r="L23" s="9"/>
      <c r="N23" s="5"/>
      <c r="O23" s="9"/>
      <c r="P23" s="8"/>
    </row>
    <row r="24" spans="1:16" ht="25.2" customHeight="1" x14ac:dyDescent="0.25">
      <c r="A24" s="85" t="s">
        <v>444</v>
      </c>
      <c r="B24" s="107">
        <f>+IHERA_Trat!L3</f>
        <v>3</v>
      </c>
      <c r="C24" s="107">
        <f>+IHERA_Trat!L3</f>
        <v>3</v>
      </c>
      <c r="D24" s="107">
        <f>+IHERA_Trat!L3</f>
        <v>3</v>
      </c>
      <c r="E24" s="114"/>
      <c r="F24" s="107"/>
      <c r="G24" s="17"/>
      <c r="H24" s="17">
        <f>+IHERA_Trat!L2</f>
        <v>2</v>
      </c>
      <c r="I24" s="17">
        <f>+IHERA_Trat!L2</f>
        <v>2</v>
      </c>
      <c r="J24" s="17">
        <f>+IHERA_Trat!L2</f>
        <v>2</v>
      </c>
      <c r="K24" s="17"/>
      <c r="L24" s="9"/>
      <c r="N24" s="5"/>
      <c r="O24" s="9"/>
      <c r="P24" s="8"/>
    </row>
    <row r="25" spans="1:16" ht="19.95" customHeight="1" x14ac:dyDescent="0.25">
      <c r="A25" s="85" t="s">
        <v>445</v>
      </c>
      <c r="B25" s="107">
        <f>+IHERA_Trat!M3</f>
        <v>0.1</v>
      </c>
      <c r="C25" s="107">
        <f>+IHERA_Trat!M3</f>
        <v>0.1</v>
      </c>
      <c r="D25" s="107">
        <f>+IHERA_Trat!M3</f>
        <v>0.1</v>
      </c>
      <c r="E25" s="114"/>
      <c r="F25" s="108"/>
      <c r="G25" s="14"/>
      <c r="H25" s="17">
        <f>+IHERA_Trat!M2</f>
        <v>0.1</v>
      </c>
      <c r="I25" s="17">
        <f>+IHERA_Trat!M2</f>
        <v>0.1</v>
      </c>
      <c r="J25" s="17">
        <f>+IHERA_Trat!M2</f>
        <v>0.1</v>
      </c>
      <c r="K25" s="17"/>
      <c r="L25" s="9"/>
      <c r="N25" s="5"/>
      <c r="O25" s="9"/>
      <c r="P25" s="8"/>
    </row>
    <row r="26" spans="1:16" ht="19.95" customHeight="1" x14ac:dyDescent="0.25">
      <c r="A26" s="85" t="s">
        <v>446</v>
      </c>
      <c r="B26" s="107">
        <f>+IHERA_Trat!N3</f>
        <v>0.36</v>
      </c>
      <c r="C26" s="107">
        <f>+IHERA_Trat!N3</f>
        <v>0.36</v>
      </c>
      <c r="D26" s="107">
        <f>+IHERA_Trat!N3</f>
        <v>0.36</v>
      </c>
      <c r="E26" s="115"/>
      <c r="F26" s="108"/>
      <c r="G26" s="14"/>
      <c r="H26" s="17">
        <f>+IHERA_Trat!N2</f>
        <v>0.36</v>
      </c>
      <c r="I26" s="17">
        <f>+IHERA_Trat!N2</f>
        <v>0.36</v>
      </c>
      <c r="J26" s="17">
        <f>+IHERA_Trat!N2</f>
        <v>0.36</v>
      </c>
      <c r="K26" s="17"/>
      <c r="L26" s="9"/>
      <c r="N26" s="5"/>
      <c r="O26" s="9"/>
      <c r="P26" s="8"/>
    </row>
    <row r="27" spans="1:16" ht="19.95" customHeight="1" x14ac:dyDescent="0.25">
      <c r="A27" s="85" t="s">
        <v>447</v>
      </c>
      <c r="B27" s="116">
        <f>+IHERA_Trat!O3</f>
        <v>2E-3</v>
      </c>
      <c r="C27" s="116">
        <f>+IHERA_Trat!O3</f>
        <v>2E-3</v>
      </c>
      <c r="D27" s="116">
        <f>+IHERA_Trat!O3</f>
        <v>2E-3</v>
      </c>
      <c r="E27" s="115"/>
      <c r="F27" s="108"/>
      <c r="G27" s="14"/>
      <c r="H27" s="58">
        <f>+IHERA_Trat!O2</f>
        <v>2E-3</v>
      </c>
      <c r="I27" s="58">
        <f>+IHERA_Trat!O2</f>
        <v>2E-3</v>
      </c>
      <c r="J27" s="58">
        <f>+IHERA_Trat!O2</f>
        <v>2E-3</v>
      </c>
      <c r="K27" s="58"/>
      <c r="L27" s="9"/>
      <c r="N27" s="5"/>
      <c r="O27" s="9"/>
      <c r="P27" s="8"/>
    </row>
    <row r="28" spans="1:16" ht="19.95" customHeight="1" x14ac:dyDescent="0.25">
      <c r="A28" s="85" t="s">
        <v>448</v>
      </c>
      <c r="B28" s="107">
        <f>+IHERA_Trat!P3</f>
        <v>2.74</v>
      </c>
      <c r="C28" s="107">
        <f>+IHERA_Trat!P3</f>
        <v>2.74</v>
      </c>
      <c r="D28" s="107">
        <f>+IHERA_Trat!P3</f>
        <v>2.74</v>
      </c>
      <c r="E28" s="115"/>
      <c r="F28" s="108"/>
      <c r="G28" s="14"/>
      <c r="H28" s="17">
        <f>+IHERA_Trat!P2</f>
        <v>2.74</v>
      </c>
      <c r="I28" s="17">
        <f>+IHERA_Trat!P2</f>
        <v>2.74</v>
      </c>
      <c r="J28" s="17">
        <f>+IHERA_Trat!P2</f>
        <v>2.74</v>
      </c>
      <c r="K28" s="17"/>
      <c r="L28" s="9"/>
      <c r="N28" s="5"/>
      <c r="O28" s="9"/>
      <c r="P28" s="8"/>
    </row>
    <row r="29" spans="1:16" ht="19.95" customHeight="1" x14ac:dyDescent="0.25">
      <c r="A29" s="85" t="s">
        <v>449</v>
      </c>
      <c r="B29" s="117">
        <v>1000</v>
      </c>
      <c r="C29" s="117">
        <v>900</v>
      </c>
      <c r="D29" s="117">
        <v>800</v>
      </c>
      <c r="E29" s="115"/>
      <c r="F29" s="117"/>
      <c r="G29" s="11"/>
      <c r="H29" s="11">
        <v>1000</v>
      </c>
      <c r="I29" s="11">
        <v>900</v>
      </c>
      <c r="J29" s="11">
        <v>800</v>
      </c>
      <c r="K29" s="11">
        <v>100</v>
      </c>
      <c r="L29" s="9"/>
      <c r="N29" s="5"/>
      <c r="O29" s="9"/>
      <c r="P29" s="8"/>
    </row>
    <row r="30" spans="1:16" ht="19.95" customHeight="1" x14ac:dyDescent="0.25">
      <c r="A30" s="85" t="s">
        <v>450</v>
      </c>
      <c r="B30" s="117">
        <v>3000</v>
      </c>
      <c r="C30" s="117">
        <v>2500</v>
      </c>
      <c r="D30" s="117">
        <v>2000</v>
      </c>
      <c r="E30" s="114"/>
      <c r="F30" s="117"/>
      <c r="G30" s="11"/>
      <c r="H30" s="11">
        <v>3000</v>
      </c>
      <c r="I30" s="11">
        <v>2500</v>
      </c>
      <c r="J30" s="11">
        <v>2000</v>
      </c>
      <c r="K30" s="11">
        <v>1000</v>
      </c>
      <c r="L30" s="9"/>
      <c r="N30" s="5"/>
      <c r="O30" s="9"/>
      <c r="P30" s="8"/>
    </row>
    <row r="31" spans="1:16" ht="19.95" customHeight="1" x14ac:dyDescent="0.25">
      <c r="A31" s="85" t="s">
        <v>451</v>
      </c>
      <c r="B31" s="107">
        <f>+IHERA_Trat!S3</f>
        <v>0.01</v>
      </c>
      <c r="C31" s="107">
        <f>+IHERA_Trat!S3</f>
        <v>0.01</v>
      </c>
      <c r="D31" s="107">
        <f>+IHERA_Trat!S3</f>
        <v>0.01</v>
      </c>
      <c r="E31" s="114"/>
      <c r="F31" s="108"/>
      <c r="G31" s="14"/>
      <c r="H31" s="17">
        <f>+IHERA_Trat!S2</f>
        <v>0.01</v>
      </c>
      <c r="I31" s="17">
        <f>+IHERA_Trat!S2</f>
        <v>0.01</v>
      </c>
      <c r="J31" s="17">
        <f>+IHERA_Trat!S2</f>
        <v>0.01</v>
      </c>
      <c r="K31" s="17">
        <f>+IHER_Equip!J167</f>
        <v>0.03</v>
      </c>
      <c r="L31" s="9"/>
      <c r="N31" s="5"/>
      <c r="O31" s="9"/>
      <c r="P31" s="8"/>
    </row>
    <row r="32" spans="1:16" ht="25.2" customHeight="1" x14ac:dyDescent="0.25">
      <c r="A32" s="85" t="s">
        <v>596</v>
      </c>
      <c r="B32" s="107">
        <f>+IHERA_Trat!T3</f>
        <v>10</v>
      </c>
      <c r="C32" s="107">
        <f>+IHERA_Trat!T3</f>
        <v>10</v>
      </c>
      <c r="D32" s="107">
        <f>+IHERA_Trat!T3</f>
        <v>10</v>
      </c>
      <c r="E32" s="115"/>
      <c r="F32" s="108"/>
      <c r="G32" s="14"/>
      <c r="H32" s="17">
        <f>+IHERA_Trat!T2</f>
        <v>10</v>
      </c>
      <c r="I32" s="17">
        <f>+IHERA_Trat!T2</f>
        <v>10</v>
      </c>
      <c r="J32" s="17">
        <f>+IHERA_Trat!T2</f>
        <v>10</v>
      </c>
      <c r="K32" s="17"/>
      <c r="L32" s="9"/>
      <c r="N32" s="5"/>
      <c r="O32" s="9"/>
      <c r="P32" s="8"/>
    </row>
    <row r="33" spans="1:62" ht="25.2" customHeight="1" x14ac:dyDescent="0.25">
      <c r="A33" s="85" t="s">
        <v>452</v>
      </c>
      <c r="B33" s="107"/>
      <c r="C33" s="107"/>
      <c r="D33" s="107"/>
      <c r="E33" s="115">
        <f>+IHERA_Trat!U3</f>
        <v>9.11</v>
      </c>
      <c r="F33" s="108"/>
      <c r="G33" s="14"/>
      <c r="H33" s="14"/>
      <c r="I33" s="14"/>
      <c r="J33" s="14"/>
      <c r="K33" s="14"/>
      <c r="L33" s="9">
        <f>+IHERA_Trat!U2</f>
        <v>10</v>
      </c>
      <c r="N33" s="5"/>
      <c r="O33" s="9"/>
      <c r="P33" s="8"/>
    </row>
    <row r="34" spans="1:62" ht="25.2" customHeight="1" x14ac:dyDescent="0.25">
      <c r="A34" s="85" t="s">
        <v>477</v>
      </c>
      <c r="B34" s="107"/>
      <c r="C34" s="107"/>
      <c r="D34" s="107"/>
      <c r="E34" s="115"/>
      <c r="F34" s="108"/>
      <c r="G34" s="14"/>
      <c r="H34" s="14"/>
      <c r="I34" s="14"/>
      <c r="J34" s="14"/>
      <c r="K34" s="9"/>
    </row>
    <row r="35" spans="1:62" s="2" customFormat="1" ht="4.95" customHeight="1" x14ac:dyDescent="0.25">
      <c r="A35" s="6"/>
      <c r="B35" s="118"/>
      <c r="C35" s="114"/>
      <c r="D35" s="114"/>
      <c r="E35" s="114"/>
      <c r="F35" s="114"/>
      <c r="G35" s="8"/>
      <c r="H35" s="8"/>
      <c r="I35" s="8"/>
      <c r="J35" s="8"/>
      <c r="K35" s="8"/>
      <c r="L35" s="8"/>
      <c r="M35" s="8"/>
      <c r="N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7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5"/>
      <c r="BA35" s="8"/>
      <c r="BB35" s="3"/>
      <c r="BC35" s="8"/>
      <c r="BE35" s="9"/>
      <c r="BF35" s="3"/>
      <c r="BG35" s="3"/>
      <c r="BH35" s="3"/>
      <c r="BI35" s="8"/>
      <c r="BJ35" s="3"/>
    </row>
    <row r="36" spans="1:62" ht="28.95" customHeight="1" x14ac:dyDescent="0.25">
      <c r="A36" s="68" t="s">
        <v>68</v>
      </c>
      <c r="B36" s="103" t="s">
        <v>439</v>
      </c>
      <c r="C36" s="105" t="s">
        <v>78</v>
      </c>
      <c r="D36" s="105" t="s">
        <v>79</v>
      </c>
      <c r="E36" s="105" t="s">
        <v>461</v>
      </c>
      <c r="F36" s="105" t="s">
        <v>478</v>
      </c>
      <c r="G36" s="67"/>
      <c r="H36" s="86" t="s">
        <v>441</v>
      </c>
      <c r="I36" s="16" t="s">
        <v>78</v>
      </c>
      <c r="J36" s="16" t="s">
        <v>79</v>
      </c>
      <c r="K36" s="156" t="s">
        <v>461</v>
      </c>
      <c r="L36" s="67" t="s">
        <v>600</v>
      </c>
      <c r="M36" s="67" t="s">
        <v>601</v>
      </c>
      <c r="N36" s="145" t="s">
        <v>597</v>
      </c>
      <c r="O36" s="145" t="s">
        <v>478</v>
      </c>
      <c r="P36" s="140" t="s">
        <v>547</v>
      </c>
      <c r="Q36" s="67" t="s">
        <v>548</v>
      </c>
    </row>
    <row r="37" spans="1:62" ht="25.2" customHeight="1" x14ac:dyDescent="0.25">
      <c r="A37" s="85" t="s">
        <v>611</v>
      </c>
      <c r="B37" s="106">
        <f>+IHER_Equip!E27</f>
        <v>2576</v>
      </c>
      <c r="C37" s="107">
        <f>+IHER_Equip!K27+IHER_Equip!L27</f>
        <v>3.3409999999999997</v>
      </c>
      <c r="D37" s="115">
        <f>+IHER_Equip!M27</f>
        <v>1.7990000000000002</v>
      </c>
      <c r="E37" s="115">
        <f>+C37+D37</f>
        <v>5.14</v>
      </c>
      <c r="F37" s="114">
        <f>+IHER_Equip!I27</f>
        <v>100</v>
      </c>
      <c r="G37" s="8"/>
      <c r="H37" s="91">
        <f>+IHER_Equip!F27</f>
        <v>2570</v>
      </c>
      <c r="I37" s="17">
        <f>+Rt_Cto_Eq!J24</f>
        <v>14.850745</v>
      </c>
      <c r="J37" s="17">
        <f>+Rt_Cto_Eq!J54</f>
        <v>1.7990000000000002</v>
      </c>
      <c r="K37" s="170">
        <f>+I37+J37</f>
        <v>16.649744999999999</v>
      </c>
      <c r="L37" s="17">
        <f>+Rt_Cto_Eq!J8</f>
        <v>4.2608310324845746</v>
      </c>
      <c r="M37" s="17">
        <f>+Rt_Cto_Eq!K8</f>
        <v>14.82769199304632</v>
      </c>
      <c r="N37" s="9">
        <f>+((5*0.6)+$B$2)/$B$2</f>
        <v>1.517241379310345</v>
      </c>
      <c r="O37" s="9">
        <f>+M37*N37</f>
        <v>22.497187851518557</v>
      </c>
      <c r="P37" s="9">
        <f>+Vel_Ec!C4</f>
        <v>5</v>
      </c>
      <c r="Q37" s="8">
        <f>+Vel_Ec!E4</f>
        <v>70</v>
      </c>
      <c r="R37" s="85"/>
    </row>
    <row r="38" spans="1:62" ht="25.2" customHeight="1" x14ac:dyDescent="0.25">
      <c r="A38" s="85" t="s">
        <v>610</v>
      </c>
      <c r="B38" s="106">
        <f>+IHER_Equip!E22</f>
        <v>1613</v>
      </c>
      <c r="C38" s="107">
        <f>+IHER_Equip!K22+IHER_Equip!L22</f>
        <v>2.08</v>
      </c>
      <c r="D38" s="115">
        <f>+IHER_Equip!M22</f>
        <v>1.1200000000000001</v>
      </c>
      <c r="E38" s="115">
        <f t="shared" ref="E38:E48" si="0">+C38+D38</f>
        <v>3.2</v>
      </c>
      <c r="F38" s="114">
        <f>+IHER_Equip!I22</f>
        <v>100</v>
      </c>
      <c r="G38" s="8"/>
      <c r="H38" s="91">
        <f>+IHER_Equip!F22</f>
        <v>1600</v>
      </c>
      <c r="I38" s="17">
        <f>+Rt_Cto_Eq!J25</f>
        <v>9.1270666666666678</v>
      </c>
      <c r="J38" s="17">
        <f>+Rt_Cto_Eq!J55</f>
        <v>1.1200000000000001</v>
      </c>
      <c r="K38" s="170">
        <f t="shared" ref="K38:K48" si="1">+I38+J38</f>
        <v>10.247066666666669</v>
      </c>
      <c r="L38" s="17">
        <f>+Rt_Cto_Eq!J9</f>
        <v>7.3042817699735574</v>
      </c>
      <c r="M38" s="17">
        <f>+Rt_Cto_Eq!K9</f>
        <v>16.945933706338653</v>
      </c>
      <c r="N38" s="9">
        <f>+((5*0.4)+$B$2)/$B$2</f>
        <v>1.3448275862068966</v>
      </c>
      <c r="O38" s="9">
        <f t="shared" ref="O38:O48" si="2">+M38*N38</f>
        <v>22.789359122317499</v>
      </c>
      <c r="P38" s="9">
        <f>+Vel_Ec!C4</f>
        <v>5</v>
      </c>
      <c r="Q38" s="8">
        <f>+Vel_Ec!E4</f>
        <v>70</v>
      </c>
      <c r="R38" s="85"/>
    </row>
    <row r="39" spans="1:62" ht="25.2" customHeight="1" x14ac:dyDescent="0.25">
      <c r="A39" s="154" t="s">
        <v>621</v>
      </c>
      <c r="B39" s="119">
        <f>+IHER_Equip!E108</f>
        <v>1936</v>
      </c>
      <c r="C39" s="107">
        <f>+IHER_Equip!K108+IHER_Equip!L108</f>
        <v>2.5089999999999999</v>
      </c>
      <c r="D39" s="115">
        <f>+IHER_Equip!M108</f>
        <v>0.96499999999999997</v>
      </c>
      <c r="E39" s="115">
        <f t="shared" si="0"/>
        <v>3.4739999999999998</v>
      </c>
      <c r="F39" s="114">
        <f>+IHER_Equip!I108</f>
        <v>100</v>
      </c>
      <c r="G39" s="8"/>
      <c r="H39" s="12">
        <f>+IHER_Equip!F108</f>
        <v>1930</v>
      </c>
      <c r="I39" s="17">
        <f>+Rt_Cto_Eq!J26</f>
        <v>31.65560747663551</v>
      </c>
      <c r="J39" s="17">
        <f>+Rt_Cto_Eq!J56</f>
        <v>0.96499999999999997</v>
      </c>
      <c r="K39" s="170">
        <f t="shared" si="1"/>
        <v>32.620607476635513</v>
      </c>
      <c r="L39" s="17">
        <f>+Rt_Cto_Eq!J10</f>
        <v>0.27777777777777779</v>
      </c>
      <c r="M39" s="17">
        <f>+Rt_Cto_Eq!K10</f>
        <v>1.6111111111111112</v>
      </c>
      <c r="N39" s="9">
        <f>+(5+($B$2/3))/$B$2</f>
        <v>1.1954022988505748</v>
      </c>
      <c r="O39" s="155">
        <f t="shared" si="2"/>
        <v>1.925925925925926</v>
      </c>
      <c r="P39" s="9">
        <f>+Vel_Ec!C20</f>
        <v>6</v>
      </c>
      <c r="Q39" s="8">
        <f>+Vel_Ec!E21</f>
        <v>50</v>
      </c>
      <c r="R39" s="85"/>
    </row>
    <row r="40" spans="1:62" ht="25.2" customHeight="1" x14ac:dyDescent="0.25">
      <c r="A40" s="154" t="s">
        <v>622</v>
      </c>
      <c r="B40" s="119">
        <f>+IHER_Equip!E108</f>
        <v>1936</v>
      </c>
      <c r="C40" s="107">
        <f>+IHER_Equip!K108+IHER_Equip!L108</f>
        <v>2.5089999999999999</v>
      </c>
      <c r="D40" s="115">
        <f>+IHER_Equip!M108</f>
        <v>0.96499999999999997</v>
      </c>
      <c r="E40" s="115">
        <f t="shared" si="0"/>
        <v>3.4739999999999998</v>
      </c>
      <c r="F40" s="114">
        <f>+IHER_Equip!I108</f>
        <v>100</v>
      </c>
      <c r="G40" s="8"/>
      <c r="H40" s="12">
        <f>+IHER_Equip!F108</f>
        <v>1930</v>
      </c>
      <c r="I40" s="17">
        <f>+Rt_Cto_Eq!J27</f>
        <v>31.65560747663551</v>
      </c>
      <c r="J40" s="17">
        <f>+Rt_Cto_Eq!J57</f>
        <v>0.96499999999999997</v>
      </c>
      <c r="K40" s="170">
        <f t="shared" si="1"/>
        <v>32.620607476635513</v>
      </c>
      <c r="L40" s="17">
        <f>+Rt_Cto_Eq!J11</f>
        <v>0.55555555555555558</v>
      </c>
      <c r="M40" s="17">
        <f>+Rt_Cto_Eq!K11</f>
        <v>3.2222222222222223</v>
      </c>
      <c r="N40" s="9">
        <f>+(5+$B$2)/$B$2</f>
        <v>1.8620689655172415</v>
      </c>
      <c r="O40" s="155">
        <f t="shared" si="2"/>
        <v>6.0000000000000009</v>
      </c>
      <c r="P40" s="9">
        <f>+Vel_Ec!C20</f>
        <v>6</v>
      </c>
      <c r="Q40" s="8">
        <f>+Vel_Ec!E21</f>
        <v>50</v>
      </c>
      <c r="R40" s="85"/>
    </row>
    <row r="41" spans="1:62" ht="25.2" customHeight="1" x14ac:dyDescent="0.25">
      <c r="A41" s="66" t="s">
        <v>612</v>
      </c>
      <c r="B41" s="120">
        <f>+IHER_Equip!E48</f>
        <v>2639</v>
      </c>
      <c r="C41" s="107">
        <f>+IHER_Equip!K48+IHER_Equip!L48</f>
        <v>3.419</v>
      </c>
      <c r="D41" s="115">
        <f>+IHER_Equip!M48</f>
        <v>1.3149999999999999</v>
      </c>
      <c r="E41" s="115">
        <f t="shared" si="0"/>
        <v>4.734</v>
      </c>
      <c r="F41" s="114">
        <f>+IHER_Equip!I48</f>
        <v>100</v>
      </c>
      <c r="G41" s="8"/>
      <c r="H41" s="13">
        <f>+IHER_Equip!F48</f>
        <v>2630</v>
      </c>
      <c r="I41" s="17">
        <f>+Rt_Cto_Eq!J28</f>
        <v>13.676</v>
      </c>
      <c r="J41" s="17">
        <f>+Rt_Cto_Eq!J58</f>
        <v>1.3149999999999999</v>
      </c>
      <c r="K41" s="170">
        <f t="shared" si="1"/>
        <v>14.991</v>
      </c>
      <c r="L41" s="17">
        <f>+Rt_Cto_Eq!J12</f>
        <v>2.3148148148148144</v>
      </c>
      <c r="M41" s="17">
        <f>+Rt_Cto_Eq!K12</f>
        <v>13.425925925925924</v>
      </c>
      <c r="N41" s="9">
        <f>+(5+$B$2)/$B$2</f>
        <v>1.8620689655172415</v>
      </c>
      <c r="O41" s="9">
        <f t="shared" si="2"/>
        <v>25</v>
      </c>
      <c r="P41" s="9">
        <f>+Vel_Ec!C13</f>
        <v>6</v>
      </c>
      <c r="Q41" s="8">
        <f>+Vel_Ec!E14</f>
        <v>80</v>
      </c>
      <c r="R41" s="85"/>
    </row>
    <row r="42" spans="1:62" ht="25.2" customHeight="1" x14ac:dyDescent="0.25">
      <c r="A42" s="65" t="s">
        <v>613</v>
      </c>
      <c r="B42" s="119">
        <f>+IHER_Equip!E128</f>
        <v>3189</v>
      </c>
      <c r="C42" s="107">
        <f>+IHER_Equip!K128+IHER_Equip!L128</f>
        <v>4.1340000000000003</v>
      </c>
      <c r="D42" s="115">
        <f>+IHER_Equip!M128</f>
        <v>2.544</v>
      </c>
      <c r="E42" s="115">
        <f t="shared" si="0"/>
        <v>6.6780000000000008</v>
      </c>
      <c r="F42" s="114">
        <f>+IHER_Equip!I128</f>
        <v>100</v>
      </c>
      <c r="G42" s="8"/>
      <c r="H42" s="12">
        <f>+IHER_Equip!F128</f>
        <v>3180</v>
      </c>
      <c r="I42" s="17">
        <f>+Rt_Cto_Eq!J29</f>
        <v>61.244444444444433</v>
      </c>
      <c r="J42" s="17">
        <f>+Rt_Cto_Eq!J59</f>
        <v>2.544</v>
      </c>
      <c r="K42" s="170">
        <f t="shared" si="1"/>
        <v>63.78844444444443</v>
      </c>
      <c r="L42" s="17">
        <f>+Rt_Cto_Eq!J13</f>
        <v>0.625</v>
      </c>
      <c r="M42" s="17">
        <f>+Rt_Cto_Eq!K13</f>
        <v>3.625</v>
      </c>
      <c r="N42" s="9">
        <f>+(5+$B$2)/$B$2</f>
        <v>1.8620689655172415</v>
      </c>
      <c r="O42" s="9">
        <f t="shared" si="2"/>
        <v>6.7500000000000009</v>
      </c>
      <c r="P42" s="9">
        <f>+Vel_Ec!C27</f>
        <v>5</v>
      </c>
      <c r="Q42" s="8">
        <f>+Vel_Ec!E27</f>
        <v>40</v>
      </c>
      <c r="R42" s="85"/>
    </row>
    <row r="43" spans="1:62" ht="25.2" customHeight="1" x14ac:dyDescent="0.25">
      <c r="A43" s="66" t="s">
        <v>614</v>
      </c>
      <c r="B43" s="120">
        <f>+IHER_Equip!E87</f>
        <v>2952</v>
      </c>
      <c r="C43" s="107">
        <f>+IHER_Equip!K87+IHER_Equip!L87</f>
        <v>3.835</v>
      </c>
      <c r="D43" s="115">
        <f>+IHER_Equip!M87</f>
        <v>2.0650000000000004</v>
      </c>
      <c r="E43" s="115">
        <f t="shared" si="0"/>
        <v>5.9</v>
      </c>
      <c r="F43" s="114">
        <f>+IHER_Equip!I87</f>
        <v>100</v>
      </c>
      <c r="G43" s="8"/>
      <c r="H43" s="13">
        <f>+IHER_Equip!F87</f>
        <v>2950</v>
      </c>
      <c r="I43" s="17">
        <f>+Rt_Cto_Eq!J30</f>
        <v>21.731666666666666</v>
      </c>
      <c r="J43" s="17">
        <f>+Rt_Cto_Eq!J60</f>
        <v>2.0650000000000004</v>
      </c>
      <c r="K43" s="170">
        <f t="shared" si="1"/>
        <v>23.796666666666667</v>
      </c>
      <c r="L43" s="17">
        <f>+Rt_Cto_Eq!J14</f>
        <v>1.6339869281045751</v>
      </c>
      <c r="M43" s="17">
        <f>+Rt_Cto_Eq!K14</f>
        <v>9.477124183006536</v>
      </c>
      <c r="N43" s="9">
        <f>+(5+$B$2)/$B$2</f>
        <v>1.8620689655172415</v>
      </c>
      <c r="O43" s="9">
        <f t="shared" si="2"/>
        <v>17.647058823529413</v>
      </c>
      <c r="P43" s="9">
        <f>+Vel_Ec!C10</f>
        <v>8</v>
      </c>
      <c r="Q43" s="8">
        <f>+Vel_Ec!E10</f>
        <v>85</v>
      </c>
      <c r="R43" s="85"/>
    </row>
    <row r="44" spans="1:62" ht="25.2" customHeight="1" x14ac:dyDescent="0.25">
      <c r="A44" s="65" t="s">
        <v>615</v>
      </c>
      <c r="B44" s="119">
        <f>+IHER_Equip!E120</f>
        <v>5955</v>
      </c>
      <c r="C44" s="107">
        <f>+IHER_Equip!K120+IHER_Equip!L120</f>
        <v>7.7350000000000003</v>
      </c>
      <c r="D44" s="115">
        <f>+IHER_Equip!M120</f>
        <v>1.7849999999999999</v>
      </c>
      <c r="E44" s="115">
        <f t="shared" si="0"/>
        <v>9.52</v>
      </c>
      <c r="F44" s="114">
        <f>+IHER_Equip!I120</f>
        <v>100</v>
      </c>
      <c r="G44" s="8"/>
      <c r="H44" s="12">
        <f>+IHER_Equip!F120</f>
        <v>5950</v>
      </c>
      <c r="I44" s="17">
        <f>+Rt_Cto_Eq!J31</f>
        <v>153.63310344827585</v>
      </c>
      <c r="J44" s="17">
        <f>+Rt_Cto_Eq!J61</f>
        <v>1.7849999999999999</v>
      </c>
      <c r="K44" s="170">
        <f t="shared" si="1"/>
        <v>155.41810344827584</v>
      </c>
      <c r="L44" s="17">
        <f>+Rt_Cto_Eq!J15</f>
        <v>0.86805555555555558</v>
      </c>
      <c r="M44" s="17">
        <f>+Rt_Cto_Eq!K15</f>
        <v>5.0347222222222223</v>
      </c>
      <c r="N44" s="9">
        <f>+(0+$B$2)/$B$2</f>
        <v>1</v>
      </c>
      <c r="O44" s="9">
        <f t="shared" si="2"/>
        <v>5.0347222222222223</v>
      </c>
      <c r="P44" s="9">
        <f>+Vel_Ec!C30</f>
        <v>8</v>
      </c>
      <c r="Q44" s="8">
        <f>+Vel_Ec!E30</f>
        <v>60</v>
      </c>
      <c r="R44" s="85"/>
    </row>
    <row r="45" spans="1:62" ht="25.2" customHeight="1" x14ac:dyDescent="0.25">
      <c r="A45" s="65" t="s">
        <v>616</v>
      </c>
      <c r="B45" s="119">
        <f>+IHER_Equip!E103</f>
        <v>1113</v>
      </c>
      <c r="C45" s="107">
        <f>+IHER_Equip!K103+IHER_Equip!L103</f>
        <v>1.4430000000000001</v>
      </c>
      <c r="D45" s="115">
        <f>+IHER_Equip!M103</f>
        <v>0.77700000000000002</v>
      </c>
      <c r="E45" s="115">
        <f t="shared" si="0"/>
        <v>2.2200000000000002</v>
      </c>
      <c r="F45" s="114">
        <f>+IHER_Equip!I103</f>
        <v>100</v>
      </c>
      <c r="G45" s="8"/>
      <c r="H45" s="12">
        <f>+IHER_Equip!F103</f>
        <v>1110</v>
      </c>
      <c r="I45" s="17">
        <f>+Rt_Cto_Eq!J32</f>
        <v>9.6199999999999974</v>
      </c>
      <c r="J45" s="17">
        <f>+Rt_Cto_Eq!J62</f>
        <v>0.77700000000000014</v>
      </c>
      <c r="K45" s="170">
        <f t="shared" si="1"/>
        <v>10.396999999999998</v>
      </c>
      <c r="L45" s="17">
        <f>+Rt_Cto_Eq!J16</f>
        <v>1.3888888888888888</v>
      </c>
      <c r="M45" s="17">
        <f>+Rt_Cto_Eq!K16</f>
        <v>8.0555555555555554</v>
      </c>
      <c r="N45" s="9">
        <f>+(5+$B$2)/$B$2</f>
        <v>1.8620689655172415</v>
      </c>
      <c r="O45" s="9">
        <f t="shared" si="2"/>
        <v>15.000000000000002</v>
      </c>
      <c r="P45" s="9">
        <f>+Vel_Ec!C6</f>
        <v>4</v>
      </c>
      <c r="Q45" s="8">
        <f>+Vel_Ec!E6</f>
        <v>75</v>
      </c>
      <c r="R45" s="85"/>
    </row>
    <row r="46" spans="1:62" ht="25.2" customHeight="1" x14ac:dyDescent="0.25">
      <c r="A46" s="65" t="s">
        <v>617</v>
      </c>
      <c r="B46" s="119">
        <f>+IHER_Equip!E151</f>
        <v>20384</v>
      </c>
      <c r="C46" s="107">
        <f>+IHER_Equip!K151+IHER_Equip!L151</f>
        <v>26.494</v>
      </c>
      <c r="D46" s="115">
        <f>+IHER_Equip!M151</f>
        <v>8.152000000000001</v>
      </c>
      <c r="E46" s="115">
        <f t="shared" si="0"/>
        <v>34.646000000000001</v>
      </c>
      <c r="F46" s="114">
        <f>+IHER_Equip!I151</f>
        <v>100</v>
      </c>
      <c r="G46" s="8"/>
      <c r="H46" s="12">
        <f>+IHER_Equip!F151</f>
        <v>20380</v>
      </c>
      <c r="I46" s="17">
        <f>+Rt_Cto_Eq!J33</f>
        <v>36.543448275862069</v>
      </c>
      <c r="J46" s="17">
        <f>+Rt_Cto_Eq!J63</f>
        <v>8.152000000000001</v>
      </c>
      <c r="K46" s="170">
        <f t="shared" si="1"/>
        <v>44.69544827586207</v>
      </c>
      <c r="L46" s="17">
        <f>+Rt_Cto_Eq!J17</f>
        <v>12.5</v>
      </c>
      <c r="M46" s="17">
        <f>+Rt_Cto_Eq!K17</f>
        <v>72.5</v>
      </c>
      <c r="N46" s="9">
        <f>+(0+$B$2)/$B$2</f>
        <v>1</v>
      </c>
      <c r="O46" s="9">
        <f t="shared" si="2"/>
        <v>72.5</v>
      </c>
      <c r="P46" s="9">
        <f>+Vel_Ec!C41</f>
        <v>2</v>
      </c>
      <c r="Q46" s="8">
        <f>+Vel_Ec!E41</f>
        <v>50</v>
      </c>
      <c r="R46" s="85"/>
    </row>
    <row r="47" spans="1:62" ht="25.2" customHeight="1" x14ac:dyDescent="0.25">
      <c r="A47" s="65" t="s">
        <v>618</v>
      </c>
      <c r="B47" s="119">
        <f>+IHER_Equip!E167</f>
        <v>3478</v>
      </c>
      <c r="C47" s="107">
        <f>+IHER_Equip!K167+IHER_Equip!L167</f>
        <v>4.5110000000000001</v>
      </c>
      <c r="D47" s="115">
        <f>+IHER_Equip!M167</f>
        <v>1.0409999999999999</v>
      </c>
      <c r="E47" s="115">
        <f t="shared" si="0"/>
        <v>5.5519999999999996</v>
      </c>
      <c r="F47" s="114">
        <f>+IHER_Equip!I167</f>
        <v>100</v>
      </c>
      <c r="G47" s="8"/>
      <c r="H47" s="12">
        <f>+IHER_Equip!F167</f>
        <v>3470</v>
      </c>
      <c r="I47" s="17">
        <f>+Rt_Cto_Eq!J34</f>
        <v>8.6959036144578317</v>
      </c>
      <c r="J47" s="17">
        <f>+Rt_Cto_Eq!J64</f>
        <v>1.0409999999999999</v>
      </c>
      <c r="K47" s="170">
        <f t="shared" si="1"/>
        <v>9.736903614457832</v>
      </c>
      <c r="L47" s="17">
        <f>+Rt_Cto_Eq!J18</f>
        <v>12.5</v>
      </c>
      <c r="M47" s="17">
        <f>+Rt_Cto_Eq!K18</f>
        <v>36.25</v>
      </c>
      <c r="N47" s="9">
        <f>+((5*0.5)+$B$2)/$B$2</f>
        <v>1.4310344827586208</v>
      </c>
      <c r="O47" s="9">
        <f t="shared" si="2"/>
        <v>51.875</v>
      </c>
      <c r="P47" s="9">
        <f>+Vel_Ec!C41</f>
        <v>2</v>
      </c>
      <c r="Q47" s="8">
        <f>+Vel_Ec!E41</f>
        <v>50</v>
      </c>
      <c r="R47" s="85"/>
    </row>
    <row r="48" spans="1:62" ht="25.2" customHeight="1" x14ac:dyDescent="0.25">
      <c r="A48" s="65" t="s">
        <v>619</v>
      </c>
      <c r="B48" s="119">
        <f>+IHER_Equip!E167</f>
        <v>3478</v>
      </c>
      <c r="C48" s="107">
        <f>+IHER_Equip!K167+IHER_Equip!L167</f>
        <v>4.5110000000000001</v>
      </c>
      <c r="D48" s="115">
        <f>+IHER_Equip!M167</f>
        <v>1.0409999999999999</v>
      </c>
      <c r="E48" s="115">
        <f t="shared" si="0"/>
        <v>5.5519999999999996</v>
      </c>
      <c r="F48" s="114">
        <f>+IHER_Equip!I167</f>
        <v>100</v>
      </c>
      <c r="G48" s="8"/>
      <c r="H48" s="12">
        <f>+IHER_Equip!F167</f>
        <v>3470</v>
      </c>
      <c r="I48" s="17">
        <f>+Rt_Cto_Eq!J35</f>
        <v>8.6959036144578317</v>
      </c>
      <c r="J48" s="17">
        <f>+Rt_Cto_Eq!J65</f>
        <v>1.0409999999999999</v>
      </c>
      <c r="K48" s="170">
        <f t="shared" si="1"/>
        <v>9.736903614457832</v>
      </c>
      <c r="L48" s="17">
        <f>+Rt_Cto_Eq!J19</f>
        <v>12.5</v>
      </c>
      <c r="M48" s="17">
        <f>+Rt_Cto_Eq!K19</f>
        <v>36.25</v>
      </c>
      <c r="N48" s="9">
        <f>+((5*0.5)+$B$2)/$B$2</f>
        <v>1.4310344827586208</v>
      </c>
      <c r="O48" s="9">
        <f t="shared" si="2"/>
        <v>51.875</v>
      </c>
      <c r="P48" s="9">
        <f>+Vel_Ec!C49</f>
        <v>10</v>
      </c>
      <c r="Q48" s="8" t="s">
        <v>627</v>
      </c>
      <c r="R48" s="85"/>
    </row>
    <row r="49" spans="1:62" ht="25.2" customHeight="1" x14ac:dyDescent="0.25">
      <c r="A49" s="65" t="s">
        <v>70</v>
      </c>
      <c r="B49" s="119"/>
      <c r="C49" s="107"/>
      <c r="D49" s="115"/>
      <c r="E49" s="114"/>
      <c r="F49" s="114"/>
      <c r="G49" s="8"/>
      <c r="H49" s="12"/>
      <c r="I49" s="17"/>
      <c r="J49" s="17"/>
      <c r="K49" s="17"/>
      <c r="L49" s="17"/>
      <c r="M49" s="17"/>
    </row>
    <row r="50" spans="1:62" ht="25.2" customHeight="1" x14ac:dyDescent="0.25">
      <c r="A50" s="70" t="s">
        <v>435</v>
      </c>
      <c r="B50" s="105" t="s">
        <v>648</v>
      </c>
      <c r="C50" s="105" t="s">
        <v>649</v>
      </c>
      <c r="D50" s="114" t="s">
        <v>600</v>
      </c>
      <c r="E50" s="114"/>
      <c r="F50" s="114"/>
      <c r="G50" s="8"/>
      <c r="H50" s="190" t="s">
        <v>700</v>
      </c>
      <c r="I50" s="16" t="s">
        <v>648</v>
      </c>
      <c r="J50" s="16" t="s">
        <v>650</v>
      </c>
      <c r="K50" s="16" t="s">
        <v>651</v>
      </c>
      <c r="L50" s="16" t="s">
        <v>652</v>
      </c>
      <c r="M50" s="15" t="s">
        <v>649</v>
      </c>
      <c r="N50" s="16" t="s">
        <v>653</v>
      </c>
      <c r="O50" s="15" t="s">
        <v>600</v>
      </c>
      <c r="P50" s="8"/>
    </row>
    <row r="51" spans="1:62" ht="19.95" customHeight="1" x14ac:dyDescent="0.25">
      <c r="A51" s="87" t="s">
        <v>654</v>
      </c>
      <c r="B51" s="171">
        <v>650</v>
      </c>
      <c r="C51" s="117">
        <f>8*22*11</f>
        <v>1936</v>
      </c>
      <c r="D51" s="115"/>
      <c r="E51" s="115"/>
      <c r="F51" s="115"/>
      <c r="G51" s="9"/>
      <c r="H51" s="3">
        <v>2</v>
      </c>
      <c r="I51" s="122">
        <f>650*H51</f>
        <v>1300</v>
      </c>
      <c r="J51" s="122">
        <v>30</v>
      </c>
      <c r="K51" s="122">
        <f>+I51+(I51*J51/100)</f>
        <v>1690</v>
      </c>
      <c r="L51" s="173">
        <f>+K51*14</f>
        <v>23660</v>
      </c>
      <c r="M51" s="173">
        <f>8*22*11*H51</f>
        <v>3872</v>
      </c>
      <c r="N51" s="122">
        <f>+L51/M51</f>
        <v>6.1105371900826446</v>
      </c>
      <c r="O51" s="9"/>
      <c r="P51" s="8"/>
    </row>
    <row r="52" spans="1:62" ht="19.95" customHeight="1" x14ac:dyDescent="0.25">
      <c r="A52" s="92" t="s">
        <v>701</v>
      </c>
      <c r="B52" s="171">
        <v>650</v>
      </c>
      <c r="C52" s="117">
        <f>8*22*11</f>
        <v>1936</v>
      </c>
      <c r="D52" s="115">
        <v>20</v>
      </c>
      <c r="E52" s="115"/>
      <c r="F52" s="115"/>
      <c r="G52" s="9"/>
      <c r="H52" s="3">
        <v>1</v>
      </c>
      <c r="I52" s="122">
        <v>650</v>
      </c>
      <c r="J52" s="122">
        <f>+J51</f>
        <v>30</v>
      </c>
      <c r="K52" s="122">
        <f>+I52+(I52*J52/100)</f>
        <v>845</v>
      </c>
      <c r="L52" s="173">
        <f>+K52*14</f>
        <v>11830</v>
      </c>
      <c r="M52" s="173">
        <f>8*22*11</f>
        <v>1936</v>
      </c>
      <c r="N52" s="122">
        <f>+L52/M52</f>
        <v>6.1105371900826446</v>
      </c>
      <c r="O52" s="9">
        <v>20</v>
      </c>
      <c r="P52" s="8"/>
    </row>
    <row r="53" spans="1:62" ht="25.2" customHeight="1" x14ac:dyDescent="0.25">
      <c r="A53" s="97" t="s">
        <v>655</v>
      </c>
      <c r="B53" s="107">
        <f>+IHERA_Trat!U3</f>
        <v>9.11</v>
      </c>
      <c r="C53" s="117">
        <v>500</v>
      </c>
      <c r="D53" s="115"/>
      <c r="E53" s="115"/>
      <c r="F53" s="115"/>
      <c r="G53" s="9"/>
      <c r="H53" s="3">
        <v>1</v>
      </c>
      <c r="I53" s="170"/>
      <c r="J53" s="174"/>
      <c r="K53" s="14"/>
      <c r="N53" s="122">
        <f>+L33</f>
        <v>10</v>
      </c>
      <c r="O53" s="9"/>
      <c r="P53" s="8"/>
    </row>
    <row r="54" spans="1:62" ht="19.95" customHeight="1" x14ac:dyDescent="0.25">
      <c r="A54" s="92" t="s">
        <v>70</v>
      </c>
      <c r="B54" s="107"/>
      <c r="C54" s="117"/>
      <c r="D54" s="114"/>
      <c r="E54" s="114"/>
      <c r="F54" s="114"/>
      <c r="G54" s="8"/>
      <c r="H54" s="8"/>
      <c r="I54" s="17"/>
      <c r="J54" s="11"/>
      <c r="K54" s="14"/>
      <c r="N54" s="5"/>
      <c r="O54" s="9"/>
      <c r="P54" s="8"/>
    </row>
    <row r="55" spans="1:62" s="2" customFormat="1" ht="4.95" customHeight="1" x14ac:dyDescent="0.25">
      <c r="A55" s="6"/>
      <c r="B55" s="118"/>
      <c r="C55" s="114"/>
      <c r="D55" s="114"/>
      <c r="E55" s="114"/>
      <c r="F55" s="114"/>
      <c r="G55" s="8"/>
      <c r="H55" s="8"/>
      <c r="I55" s="8"/>
      <c r="J55" s="8"/>
      <c r="K55" s="8"/>
      <c r="L55" s="8"/>
      <c r="M55" s="8"/>
      <c r="N55" s="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7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5"/>
      <c r="BA55" s="8"/>
      <c r="BB55" s="3"/>
      <c r="BC55" s="8"/>
      <c r="BE55" s="9"/>
      <c r="BF55" s="3"/>
      <c r="BG55" s="3"/>
      <c r="BH55" s="3"/>
      <c r="BI55" s="8"/>
      <c r="BJ55" s="3"/>
    </row>
    <row r="56" spans="1:62" ht="25.2" customHeight="1" x14ac:dyDescent="0.25">
      <c r="A56" s="70" t="s">
        <v>436</v>
      </c>
      <c r="B56" s="105" t="s">
        <v>690</v>
      </c>
      <c r="C56" s="111" t="s">
        <v>72</v>
      </c>
      <c r="D56" s="111" t="s">
        <v>71</v>
      </c>
      <c r="E56" s="105" t="s">
        <v>691</v>
      </c>
      <c r="F56" s="111"/>
      <c r="G56" s="15"/>
      <c r="H56" s="187" t="s">
        <v>690</v>
      </c>
      <c r="I56" s="15" t="s">
        <v>72</v>
      </c>
      <c r="J56" s="15" t="s">
        <v>71</v>
      </c>
      <c r="K56" s="16" t="s">
        <v>688</v>
      </c>
      <c r="L56" s="16" t="s">
        <v>703</v>
      </c>
      <c r="N56" s="5"/>
      <c r="O56" s="9"/>
      <c r="P56" s="8"/>
    </row>
    <row r="57" spans="1:62" ht="25.2" customHeight="1" x14ac:dyDescent="0.25">
      <c r="A57" s="85" t="s">
        <v>702</v>
      </c>
      <c r="B57" s="108">
        <f>+IHERA_Trat!U3</f>
        <v>9.11</v>
      </c>
      <c r="C57" s="108">
        <f>+Rt_Cto_Eq!M17</f>
        <v>72.5</v>
      </c>
      <c r="D57" s="108">
        <v>1</v>
      </c>
      <c r="E57" s="108">
        <f>+B57*C57*D57</f>
        <v>660.47499999999991</v>
      </c>
      <c r="F57" s="108"/>
      <c r="G57" s="14"/>
      <c r="H57" s="168">
        <f>+IHERA_Trat!U3</f>
        <v>9.11</v>
      </c>
      <c r="I57" s="14">
        <f>+Rt_Cto_Eq!M17</f>
        <v>72.5</v>
      </c>
      <c r="J57" s="14">
        <v>1</v>
      </c>
      <c r="K57" s="11">
        <v>100</v>
      </c>
      <c r="L57" s="14">
        <f>+H57*I57*J57*K57/100</f>
        <v>660.47499999999991</v>
      </c>
      <c r="N57" s="5"/>
      <c r="O57" s="9"/>
      <c r="P57" s="8"/>
    </row>
    <row r="58" spans="1:62" ht="25.2" customHeight="1" x14ac:dyDescent="0.25">
      <c r="A58" s="87" t="s">
        <v>73</v>
      </c>
      <c r="B58" s="108"/>
      <c r="C58" s="108"/>
      <c r="D58" s="108"/>
      <c r="E58" s="108"/>
      <c r="F58" s="108"/>
      <c r="G58" s="14"/>
      <c r="H58" s="168"/>
      <c r="I58" s="14"/>
      <c r="J58" s="14"/>
      <c r="K58" s="11"/>
      <c r="L58" s="14"/>
      <c r="N58" s="5"/>
      <c r="O58" s="9"/>
      <c r="P58" s="8"/>
    </row>
    <row r="59" spans="1:62" ht="25.2" customHeight="1" x14ac:dyDescent="0.25">
      <c r="A59" s="87" t="s">
        <v>453</v>
      </c>
      <c r="B59" s="108">
        <v>5</v>
      </c>
      <c r="C59" s="108"/>
      <c r="D59" s="108"/>
      <c r="E59" s="108"/>
      <c r="F59" s="108"/>
      <c r="G59" s="14"/>
      <c r="H59" s="168">
        <v>5</v>
      </c>
      <c r="I59" s="14"/>
      <c r="J59" s="14"/>
      <c r="K59" s="11"/>
      <c r="L59" s="14"/>
      <c r="N59" s="5"/>
      <c r="O59" s="9"/>
      <c r="P59" s="8"/>
    </row>
    <row r="60" spans="1:62" ht="25.2" customHeight="1" x14ac:dyDescent="0.25">
      <c r="A60" s="87" t="s">
        <v>69</v>
      </c>
      <c r="B60" s="108"/>
      <c r="C60" s="108"/>
      <c r="D60" s="108"/>
      <c r="E60" s="108"/>
      <c r="F60" s="108"/>
      <c r="G60" s="14"/>
      <c r="H60" s="168"/>
      <c r="I60" s="14"/>
      <c r="J60" s="14"/>
      <c r="K60" s="11"/>
      <c r="L60" s="14"/>
      <c r="N60" s="5"/>
      <c r="O60" s="9"/>
      <c r="P60" s="8"/>
    </row>
    <row r="61" spans="1:62" ht="25.2" customHeight="1" x14ac:dyDescent="0.25">
      <c r="A61" s="87" t="s">
        <v>686</v>
      </c>
      <c r="B61" s="171" t="s">
        <v>689</v>
      </c>
      <c r="C61" s="108"/>
      <c r="D61" s="108"/>
      <c r="E61" s="108"/>
      <c r="F61" s="108"/>
      <c r="G61" s="14"/>
      <c r="H61" s="168">
        <v>20000</v>
      </c>
      <c r="I61" s="14"/>
      <c r="J61" s="14">
        <v>1</v>
      </c>
      <c r="K61" s="11">
        <v>50</v>
      </c>
      <c r="L61" s="14">
        <f>+H61*J61*K61/100</f>
        <v>10000</v>
      </c>
      <c r="N61" s="5"/>
      <c r="O61" s="9"/>
      <c r="P61" s="8"/>
    </row>
    <row r="62" spans="1:62" ht="25.2" customHeight="1" x14ac:dyDescent="0.25">
      <c r="A62" s="87"/>
      <c r="B62" s="108"/>
      <c r="C62" s="108"/>
      <c r="D62" s="108"/>
      <c r="E62" s="108"/>
      <c r="F62" s="108"/>
      <c r="G62" s="14"/>
      <c r="H62" s="168"/>
      <c r="I62" s="14"/>
      <c r="J62" s="14"/>
      <c r="K62" s="14"/>
    </row>
    <row r="63" spans="1:62" ht="25.2" customHeight="1" x14ac:dyDescent="0.25">
      <c r="A63" s="69" t="s">
        <v>74</v>
      </c>
      <c r="B63" s="105" t="s">
        <v>692</v>
      </c>
      <c r="C63" s="111" t="s">
        <v>75</v>
      </c>
      <c r="D63" s="105" t="s">
        <v>693</v>
      </c>
      <c r="E63" s="105" t="s">
        <v>694</v>
      </c>
      <c r="F63" s="111"/>
      <c r="G63" s="15"/>
      <c r="H63" s="187" t="s">
        <v>692</v>
      </c>
      <c r="I63" s="15" t="s">
        <v>75</v>
      </c>
      <c r="J63" s="16" t="s">
        <v>693</v>
      </c>
      <c r="K63" s="16" t="s">
        <v>694</v>
      </c>
    </row>
    <row r="64" spans="1:62" ht="25.2" customHeight="1" x14ac:dyDescent="0.25">
      <c r="A64" s="163" t="s">
        <v>643</v>
      </c>
      <c r="B64" s="108">
        <v>1.5</v>
      </c>
      <c r="C64" s="108">
        <v>30</v>
      </c>
      <c r="D64" s="108">
        <f>+B64*C64</f>
        <v>45</v>
      </c>
      <c r="E64" s="108">
        <f>+$B$2*D64</f>
        <v>261</v>
      </c>
      <c r="F64" s="108"/>
      <c r="G64" s="122"/>
      <c r="H64" s="176">
        <v>1.5</v>
      </c>
      <c r="I64" s="122">
        <v>30</v>
      </c>
      <c r="J64" s="122">
        <f>+H64*I64</f>
        <v>45</v>
      </c>
      <c r="K64" s="122">
        <f>+$H$2*J64</f>
        <v>261</v>
      </c>
    </row>
    <row r="65" spans="1:62" ht="25.2" customHeight="1" x14ac:dyDescent="0.25">
      <c r="A65" s="163" t="s">
        <v>644</v>
      </c>
      <c r="B65" s="108"/>
      <c r="C65" s="108"/>
      <c r="D65" s="108"/>
      <c r="E65" s="108"/>
      <c r="F65" s="108"/>
      <c r="G65" s="122"/>
      <c r="H65" s="122"/>
      <c r="I65" s="122"/>
      <c r="J65" s="122"/>
      <c r="K65" s="122"/>
    </row>
    <row r="66" spans="1:62" ht="25.2" customHeight="1" x14ac:dyDescent="0.25">
      <c r="A66" s="69" t="s">
        <v>69</v>
      </c>
      <c r="B66" s="111"/>
      <c r="C66" s="111"/>
      <c r="D66" s="111"/>
      <c r="E66" s="111"/>
      <c r="F66" s="111"/>
      <c r="G66" s="15"/>
      <c r="H66" s="15"/>
      <c r="I66" s="15"/>
      <c r="J66" s="15"/>
      <c r="K66" s="122"/>
    </row>
    <row r="67" spans="1:62" ht="25.2" customHeight="1" x14ac:dyDescent="0.25">
      <c r="A67" s="85" t="s">
        <v>642</v>
      </c>
      <c r="B67" s="108">
        <v>6</v>
      </c>
      <c r="C67" s="108">
        <v>5</v>
      </c>
      <c r="D67" s="121">
        <f>+B67*C67</f>
        <v>30</v>
      </c>
      <c r="E67" s="108">
        <f>+$B$2*D67</f>
        <v>174</v>
      </c>
      <c r="F67" s="111"/>
      <c r="G67" s="15"/>
      <c r="H67" s="176">
        <v>6</v>
      </c>
      <c r="I67" s="122">
        <v>5</v>
      </c>
      <c r="J67" s="122">
        <f>+H67*I67</f>
        <v>30</v>
      </c>
      <c r="K67" s="122">
        <f>+$H$2*J67</f>
        <v>174</v>
      </c>
    </row>
    <row r="68" spans="1:62" ht="25.2" customHeight="1" x14ac:dyDescent="0.25">
      <c r="A68" s="69" t="s">
        <v>70</v>
      </c>
      <c r="B68" s="111"/>
      <c r="C68" s="111"/>
      <c r="D68" s="111"/>
      <c r="E68" s="111"/>
      <c r="F68" s="111"/>
      <c r="G68" s="15"/>
      <c r="H68" s="175"/>
      <c r="I68" s="15"/>
      <c r="J68" s="15"/>
      <c r="K68" s="122"/>
    </row>
    <row r="69" spans="1:62" ht="25.2" customHeight="1" x14ac:dyDescent="0.25">
      <c r="A69" s="85" t="s">
        <v>641</v>
      </c>
      <c r="B69" s="108">
        <v>10</v>
      </c>
      <c r="C69" s="108">
        <v>2.5</v>
      </c>
      <c r="D69" s="121">
        <f>+B69*C69</f>
        <v>25</v>
      </c>
      <c r="E69" s="108">
        <f>+$B$2*D69</f>
        <v>145</v>
      </c>
      <c r="F69" s="121"/>
      <c r="G69" s="40"/>
      <c r="H69" s="168">
        <v>10</v>
      </c>
      <c r="I69" s="14">
        <v>2.5</v>
      </c>
      <c r="J69" s="14">
        <f>+H69*I69</f>
        <v>25</v>
      </c>
      <c r="K69" s="122">
        <f>+$H$2*J69</f>
        <v>145</v>
      </c>
    </row>
    <row r="70" spans="1:62" ht="25.2" customHeight="1" x14ac:dyDescent="0.25">
      <c r="A70" s="85" t="s">
        <v>640</v>
      </c>
      <c r="B70" s="108">
        <v>5</v>
      </c>
      <c r="C70" s="108">
        <v>2.5</v>
      </c>
      <c r="D70" s="121">
        <f>+B70*C70</f>
        <v>12.5</v>
      </c>
      <c r="E70" s="108">
        <f>+$B$2*D70</f>
        <v>72.5</v>
      </c>
      <c r="F70" s="121"/>
      <c r="G70" s="40"/>
      <c r="H70" s="168">
        <v>5</v>
      </c>
      <c r="I70" s="14">
        <v>2.5</v>
      </c>
      <c r="J70" s="14">
        <f>+H70*I70</f>
        <v>12.5</v>
      </c>
      <c r="K70" s="122">
        <f>+$H$2*J70</f>
        <v>72.5</v>
      </c>
    </row>
    <row r="71" spans="1:62" ht="25.2" customHeight="1" x14ac:dyDescent="0.25">
      <c r="A71" s="92" t="s">
        <v>70</v>
      </c>
      <c r="B71" s="108"/>
      <c r="C71" s="108"/>
      <c r="D71" s="109"/>
      <c r="E71" s="109"/>
      <c r="F71" s="109"/>
      <c r="G71" s="87"/>
      <c r="H71" s="168"/>
      <c r="I71" s="14"/>
      <c r="J71" s="96"/>
      <c r="K71" s="122"/>
    </row>
    <row r="72" spans="1:62" ht="25.2" customHeight="1" x14ac:dyDescent="0.25">
      <c r="A72" s="85" t="s">
        <v>639</v>
      </c>
      <c r="B72" s="108">
        <v>0.5</v>
      </c>
      <c r="C72" s="114">
        <v>300</v>
      </c>
      <c r="D72" s="114">
        <f>+B72*C72</f>
        <v>150</v>
      </c>
      <c r="E72" s="108">
        <f>+$B$2*D72</f>
        <v>870</v>
      </c>
      <c r="F72" s="114"/>
      <c r="G72" s="8"/>
      <c r="H72" s="168">
        <v>0.5</v>
      </c>
      <c r="I72" s="7">
        <v>150</v>
      </c>
      <c r="J72" s="7">
        <f>+H72*I72</f>
        <v>75</v>
      </c>
      <c r="K72" s="122">
        <f>+$H$2*J72</f>
        <v>435</v>
      </c>
    </row>
    <row r="73" spans="1:62" ht="25.2" customHeight="1" x14ac:dyDescent="0.25">
      <c r="A73" s="97" t="s">
        <v>638</v>
      </c>
      <c r="B73" s="108">
        <v>0.5</v>
      </c>
      <c r="C73" s="114">
        <v>300</v>
      </c>
      <c r="D73" s="114">
        <f>+B73*C73</f>
        <v>150</v>
      </c>
      <c r="E73" s="108">
        <f>+$B$2*D73</f>
        <v>870</v>
      </c>
      <c r="F73" s="108"/>
      <c r="G73" s="14"/>
      <c r="H73" s="168">
        <v>0.2</v>
      </c>
      <c r="I73" s="7">
        <v>100</v>
      </c>
      <c r="J73" s="7">
        <f>+H73*I73</f>
        <v>20</v>
      </c>
      <c r="K73" s="122">
        <f>+$H$2*J73</f>
        <v>116</v>
      </c>
    </row>
    <row r="74" spans="1:62" ht="25.2" customHeight="1" x14ac:dyDescent="0.25">
      <c r="A74" s="97" t="s">
        <v>637</v>
      </c>
      <c r="B74" s="108">
        <v>0.5</v>
      </c>
      <c r="C74" s="114">
        <v>40</v>
      </c>
      <c r="D74" s="114">
        <f>+B74*C74</f>
        <v>20</v>
      </c>
      <c r="E74" s="108">
        <f>+$B$2*D74</f>
        <v>116</v>
      </c>
      <c r="F74" s="108"/>
      <c r="G74" s="14"/>
      <c r="H74" s="168">
        <v>0.5</v>
      </c>
      <c r="I74" s="7">
        <v>40</v>
      </c>
      <c r="J74" s="7">
        <f>+H74*I74</f>
        <v>20</v>
      </c>
      <c r="K74" s="122">
        <f>+$H$2*J74</f>
        <v>116</v>
      </c>
    </row>
    <row r="75" spans="1:62" ht="25.2" customHeight="1" x14ac:dyDescent="0.25">
      <c r="A75" s="92" t="s">
        <v>69</v>
      </c>
      <c r="B75" s="108"/>
      <c r="C75" s="108"/>
      <c r="D75" s="108"/>
      <c r="E75" s="108"/>
      <c r="F75" s="108"/>
      <c r="G75" s="14"/>
      <c r="H75" s="168"/>
      <c r="I75" s="14"/>
      <c r="J75" s="14"/>
      <c r="K75" s="122"/>
    </row>
    <row r="76" spans="1:62" ht="25.2" customHeight="1" x14ac:dyDescent="0.25">
      <c r="A76" s="97" t="s">
        <v>645</v>
      </c>
      <c r="B76" s="116">
        <v>7.4999999999999997E-2</v>
      </c>
      <c r="C76" s="108">
        <v>1000</v>
      </c>
      <c r="D76" s="108">
        <f>+B76*C76</f>
        <v>75</v>
      </c>
      <c r="E76" s="108">
        <f>+$B$2*D76</f>
        <v>435</v>
      </c>
      <c r="F76" s="108"/>
      <c r="G76" s="14"/>
      <c r="H76" s="177">
        <v>7.4999999999999997E-2</v>
      </c>
      <c r="I76" s="14">
        <v>1000</v>
      </c>
      <c r="J76" s="14">
        <f>+H76*I76</f>
        <v>75</v>
      </c>
      <c r="K76" s="122">
        <f>+$H$2*J76</f>
        <v>435</v>
      </c>
    </row>
    <row r="77" spans="1:62" s="2" customFormat="1" ht="4.95" customHeight="1" x14ac:dyDescent="0.25">
      <c r="A77" s="6"/>
      <c r="B77" s="118"/>
      <c r="C77" s="114"/>
      <c r="D77" s="114"/>
      <c r="E77" s="114"/>
      <c r="F77" s="114"/>
      <c r="G77" s="8"/>
      <c r="H77" s="172"/>
      <c r="I77" s="8"/>
      <c r="J77" s="8"/>
      <c r="K77" s="8"/>
      <c r="L77" s="8"/>
      <c r="M77" s="8"/>
      <c r="N77" s="9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7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5"/>
      <c r="BA77" s="8"/>
      <c r="BB77" s="3"/>
      <c r="BC77" s="8"/>
      <c r="BE77" s="9"/>
      <c r="BF77" s="3"/>
      <c r="BG77" s="3"/>
      <c r="BH77" s="3"/>
      <c r="BI77" s="8"/>
      <c r="BJ77" s="3"/>
    </row>
    <row r="78" spans="1:62" ht="25.2" customHeight="1" x14ac:dyDescent="0.25">
      <c r="A78" s="69" t="s">
        <v>76</v>
      </c>
      <c r="B78" s="105" t="s">
        <v>692</v>
      </c>
      <c r="C78" s="111" t="s">
        <v>71</v>
      </c>
      <c r="D78" s="105" t="s">
        <v>695</v>
      </c>
      <c r="E78" s="111"/>
      <c r="F78" s="111"/>
      <c r="G78" s="15"/>
      <c r="H78" s="187" t="s">
        <v>692</v>
      </c>
      <c r="I78" s="15" t="s">
        <v>71</v>
      </c>
      <c r="J78" s="16" t="s">
        <v>688</v>
      </c>
      <c r="K78" s="16" t="s">
        <v>695</v>
      </c>
      <c r="N78" s="5"/>
      <c r="O78" s="9"/>
      <c r="P78" s="8"/>
    </row>
    <row r="79" spans="1:62" ht="25.2" customHeight="1" x14ac:dyDescent="0.25">
      <c r="A79" s="85" t="s">
        <v>455</v>
      </c>
      <c r="B79" s="107">
        <v>0.5</v>
      </c>
      <c r="C79" s="108">
        <v>250</v>
      </c>
      <c r="D79" s="108">
        <f>+B79*C79</f>
        <v>125</v>
      </c>
      <c r="E79" s="108"/>
      <c r="F79" s="108"/>
      <c r="G79" s="14"/>
      <c r="H79" s="170">
        <v>0.5</v>
      </c>
      <c r="I79" s="14">
        <f>30*10</f>
        <v>300</v>
      </c>
      <c r="J79" s="14">
        <v>100</v>
      </c>
      <c r="K79" s="14">
        <f>+H79*I79*J79/100</f>
        <v>150</v>
      </c>
      <c r="N79" s="5"/>
      <c r="O79" s="9"/>
      <c r="P79" s="8"/>
    </row>
    <row r="80" spans="1:62" ht="25.2" customHeight="1" x14ac:dyDescent="0.25">
      <c r="A80" s="85" t="s">
        <v>456</v>
      </c>
      <c r="B80" s="107">
        <v>0.5</v>
      </c>
      <c r="C80" s="108">
        <v>200</v>
      </c>
      <c r="D80" s="108">
        <f>+B80*C80</f>
        <v>100</v>
      </c>
      <c r="E80" s="108"/>
      <c r="F80" s="108"/>
      <c r="G80" s="14"/>
      <c r="H80" s="170">
        <v>0.5</v>
      </c>
      <c r="I80" s="14">
        <f>30*10</f>
        <v>300</v>
      </c>
      <c r="J80" s="14">
        <v>100</v>
      </c>
      <c r="K80" s="14">
        <f>+H80*I80*J80/100</f>
        <v>150</v>
      </c>
      <c r="N80" s="5"/>
      <c r="O80" s="9"/>
      <c r="P80" s="8"/>
    </row>
    <row r="81" spans="1:16" ht="25.2" customHeight="1" x14ac:dyDescent="0.25">
      <c r="A81" s="85" t="s">
        <v>526</v>
      </c>
      <c r="B81" s="107">
        <v>0.25</v>
      </c>
      <c r="C81" s="108">
        <v>60</v>
      </c>
      <c r="D81" s="108">
        <f>+B81*C81</f>
        <v>15</v>
      </c>
      <c r="E81" s="108"/>
      <c r="F81" s="108"/>
      <c r="G81" s="14"/>
      <c r="H81" s="170">
        <v>0.25</v>
      </c>
      <c r="I81" s="14">
        <v>60</v>
      </c>
      <c r="J81" s="14">
        <v>50</v>
      </c>
      <c r="K81" s="14">
        <f>+H81*I81*J81/100</f>
        <v>7.5</v>
      </c>
      <c r="N81" s="5"/>
      <c r="O81" s="9"/>
      <c r="P81" s="8"/>
    </row>
    <row r="82" spans="1:16" ht="25.2" customHeight="1" x14ac:dyDescent="0.25">
      <c r="A82" s="85" t="s">
        <v>687</v>
      </c>
      <c r="B82" s="107"/>
      <c r="C82" s="108"/>
      <c r="D82" s="108"/>
      <c r="E82" s="108"/>
      <c r="F82" s="108"/>
      <c r="G82" s="14"/>
      <c r="H82" s="170">
        <v>0</v>
      </c>
      <c r="I82" s="14">
        <f>+H2</f>
        <v>5.8</v>
      </c>
      <c r="J82" s="14">
        <v>50</v>
      </c>
      <c r="K82" s="14">
        <f>+H82*I82*J82/100</f>
        <v>0</v>
      </c>
      <c r="N82" s="5"/>
      <c r="O82" s="9"/>
      <c r="P82" s="8"/>
    </row>
    <row r="83" spans="1:16" ht="25.2" customHeight="1" x14ac:dyDescent="0.25">
      <c r="A83" s="87" t="s">
        <v>70</v>
      </c>
      <c r="B83" s="108"/>
      <c r="C83" s="108"/>
      <c r="D83" s="108"/>
      <c r="E83" s="108"/>
      <c r="F83" s="108"/>
      <c r="G83" s="14"/>
      <c r="H83" s="168"/>
      <c r="I83" s="14"/>
      <c r="J83" s="14"/>
    </row>
    <row r="84" spans="1:16" ht="25.2" customHeight="1" x14ac:dyDescent="0.25">
      <c r="A84" s="69" t="s">
        <v>454</v>
      </c>
      <c r="B84" s="111" t="s">
        <v>71</v>
      </c>
      <c r="C84" s="111" t="s">
        <v>525</v>
      </c>
      <c r="D84" s="111" t="s">
        <v>72</v>
      </c>
      <c r="E84" s="105" t="s">
        <v>696</v>
      </c>
      <c r="F84" s="105" t="s">
        <v>697</v>
      </c>
      <c r="G84" s="108"/>
      <c r="H84" s="187" t="s">
        <v>692</v>
      </c>
      <c r="I84" s="15" t="s">
        <v>71</v>
      </c>
      <c r="J84" s="15" t="s">
        <v>72</v>
      </c>
      <c r="K84" s="16" t="s">
        <v>698</v>
      </c>
      <c r="L84" s="16" t="s">
        <v>696</v>
      </c>
      <c r="M84" s="16" t="s">
        <v>697</v>
      </c>
    </row>
    <row r="85" spans="1:16" ht="25.2" customHeight="1" x14ac:dyDescent="0.25">
      <c r="A85" s="87" t="s">
        <v>481</v>
      </c>
      <c r="B85" s="108">
        <v>0</v>
      </c>
      <c r="C85" s="107">
        <v>0</v>
      </c>
      <c r="D85" s="107">
        <v>20</v>
      </c>
      <c r="E85" s="108">
        <f>+C85*B85*D85</f>
        <v>0</v>
      </c>
      <c r="F85" s="108">
        <f>+$B$2*E85</f>
        <v>0</v>
      </c>
      <c r="G85" s="108"/>
      <c r="H85" s="170">
        <v>0</v>
      </c>
      <c r="I85" s="14">
        <v>0</v>
      </c>
      <c r="J85" s="17">
        <v>20</v>
      </c>
      <c r="K85" s="17">
        <f>+$H$2*J85</f>
        <v>116</v>
      </c>
      <c r="L85" s="14">
        <f>+H85*I85*J85</f>
        <v>0</v>
      </c>
      <c r="M85" s="14">
        <f>+$H$2*L85</f>
        <v>0</v>
      </c>
    </row>
    <row r="86" spans="1:16" ht="25.2" customHeight="1" x14ac:dyDescent="0.25">
      <c r="A86" s="65" t="s">
        <v>629</v>
      </c>
      <c r="B86" s="108">
        <v>0.3</v>
      </c>
      <c r="C86" s="107">
        <f>+B86*(E15+E48)</f>
        <v>7.4887299999999994</v>
      </c>
      <c r="D86" s="107">
        <f>+H3/I87*I86</f>
        <v>2.4</v>
      </c>
      <c r="E86" s="108">
        <f>+D86*(E16+E48)</f>
        <v>51.990704000000001</v>
      </c>
      <c r="F86" s="108">
        <f t="shared" ref="F86:F91" si="3">+$B$2*E86</f>
        <v>301.5460832</v>
      </c>
      <c r="G86" s="108"/>
      <c r="H86" s="170">
        <f>+I86*(K15+K48)</f>
        <v>8.752201084337349</v>
      </c>
      <c r="I86" s="14">
        <v>0.3</v>
      </c>
      <c r="J86" s="17">
        <f>+H3/I87*I86</f>
        <v>2.4</v>
      </c>
      <c r="K86" s="17">
        <f>+$H$2*J86</f>
        <v>13.92</v>
      </c>
      <c r="L86" s="14">
        <f>+J86*(K16+K48)</f>
        <v>62.194472674698801</v>
      </c>
      <c r="M86" s="14">
        <f>+$H$2*L86</f>
        <v>360.72794151325303</v>
      </c>
    </row>
    <row r="87" spans="1:16" ht="25.2" customHeight="1" x14ac:dyDescent="0.25">
      <c r="A87" s="85" t="s">
        <v>628</v>
      </c>
      <c r="B87" s="108">
        <v>5</v>
      </c>
      <c r="C87" s="107"/>
      <c r="D87" s="107">
        <f>+I3/I87</f>
        <v>0</v>
      </c>
      <c r="E87" s="108">
        <f>+D87*(E48+E15)</f>
        <v>0</v>
      </c>
      <c r="F87" s="108">
        <f t="shared" si="3"/>
        <v>0</v>
      </c>
      <c r="G87" s="108"/>
      <c r="H87" s="170"/>
      <c r="I87" s="14">
        <v>5</v>
      </c>
      <c r="J87" s="17">
        <f>+H3/I87</f>
        <v>8</v>
      </c>
      <c r="K87" s="17">
        <f>+$H$2*J87</f>
        <v>46.4</v>
      </c>
      <c r="L87" s="14">
        <f>+J87*(K48+K15)</f>
        <v>233.39202891566265</v>
      </c>
      <c r="M87" s="14">
        <f>+$H$2*L87</f>
        <v>1353.6737677108433</v>
      </c>
    </row>
    <row r="88" spans="1:16" ht="25.2" customHeight="1" x14ac:dyDescent="0.25">
      <c r="A88" s="85" t="s">
        <v>657</v>
      </c>
      <c r="B88" s="107">
        <v>1</v>
      </c>
      <c r="C88" s="107"/>
      <c r="D88" s="107">
        <f>+L46*B88</f>
        <v>12.5</v>
      </c>
      <c r="E88" s="108">
        <f>+E16*B88*D88</f>
        <v>201.38491666666667</v>
      </c>
      <c r="F88" s="108">
        <f t="shared" si="3"/>
        <v>1168.0325166666667</v>
      </c>
      <c r="G88" s="108"/>
      <c r="H88" s="170"/>
      <c r="I88" s="14">
        <v>1</v>
      </c>
      <c r="J88" s="17">
        <f>+L46*I88</f>
        <v>12.5</v>
      </c>
      <c r="K88" s="17">
        <f>+$H$2*J88</f>
        <v>72.5</v>
      </c>
      <c r="L88" s="14">
        <f>+K16*I88*J88</f>
        <v>202.21825000000001</v>
      </c>
      <c r="M88" s="14">
        <f>+$H$2*L88</f>
        <v>1172.8658500000001</v>
      </c>
    </row>
    <row r="89" spans="1:16" ht="25.2" customHeight="1" x14ac:dyDescent="0.25">
      <c r="A89" s="87" t="s">
        <v>656</v>
      </c>
      <c r="B89" s="108">
        <v>3</v>
      </c>
      <c r="C89" s="107">
        <f>+B59</f>
        <v>5</v>
      </c>
      <c r="D89" s="107">
        <f>+L46</f>
        <v>12.5</v>
      </c>
      <c r="E89" s="108">
        <f>+E16*B89*C89</f>
        <v>241.6619</v>
      </c>
      <c r="F89" s="108">
        <f t="shared" si="3"/>
        <v>1401.6390200000001</v>
      </c>
      <c r="G89" s="108"/>
      <c r="H89" s="170">
        <f>+H59</f>
        <v>5</v>
      </c>
      <c r="I89" s="14">
        <v>3</v>
      </c>
      <c r="J89" s="17">
        <f>+L46*I89</f>
        <v>37.5</v>
      </c>
      <c r="K89" s="17">
        <f>+$H$2*J89</f>
        <v>217.5</v>
      </c>
      <c r="L89" s="14">
        <f>+H89*J89</f>
        <v>187.5</v>
      </c>
      <c r="M89" s="14">
        <f>+$H$2*K89</f>
        <v>1261.5</v>
      </c>
    </row>
    <row r="90" spans="1:16" ht="25.2" customHeight="1" x14ac:dyDescent="0.25">
      <c r="A90" s="5" t="s">
        <v>658</v>
      </c>
      <c r="B90" s="107">
        <f>+B3*1000/750</f>
        <v>53.333333333333336</v>
      </c>
      <c r="C90" s="107">
        <v>1.25</v>
      </c>
      <c r="D90" s="108"/>
      <c r="E90" s="108">
        <f>+B90*C90*H3</f>
        <v>2666.666666666667</v>
      </c>
      <c r="F90" s="108">
        <f t="shared" si="3"/>
        <v>15466.666666666668</v>
      </c>
      <c r="H90" s="170">
        <v>1.25</v>
      </c>
      <c r="I90" s="14">
        <f>(H2*H3*1000)/H4</f>
        <v>309.33333333333331</v>
      </c>
      <c r="J90" s="17"/>
      <c r="K90" s="17"/>
      <c r="L90" s="17"/>
      <c r="M90" s="14">
        <f>+H90*I90*0.5</f>
        <v>193.33333333333331</v>
      </c>
    </row>
    <row r="91" spans="1:16" ht="25.2" customHeight="1" x14ac:dyDescent="0.25">
      <c r="A91" s="5" t="s">
        <v>659</v>
      </c>
      <c r="B91" s="107">
        <f>+B3*0.001*1000</f>
        <v>40</v>
      </c>
      <c r="C91" s="107">
        <v>0.05</v>
      </c>
      <c r="D91" s="107"/>
      <c r="E91" s="107">
        <f>+B91*C91</f>
        <v>2</v>
      </c>
      <c r="F91" s="108">
        <f t="shared" si="3"/>
        <v>11.6</v>
      </c>
      <c r="H91" s="170">
        <v>0.04</v>
      </c>
      <c r="I91" s="14">
        <f>+H2*H3*100*0.05</f>
        <v>1160</v>
      </c>
      <c r="J91" s="17"/>
      <c r="K91" s="17"/>
      <c r="L91" s="17"/>
      <c r="M91" s="14">
        <f>+I91*H91</f>
        <v>46.4</v>
      </c>
    </row>
    <row r="92" spans="1:16" ht="25.2" customHeight="1" x14ac:dyDescent="0.25"/>
    <row r="93" spans="1:16" ht="25.2" customHeight="1" x14ac:dyDescent="0.25">
      <c r="B93" s="199" t="s">
        <v>599</v>
      </c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</row>
  </sheetData>
  <mergeCells count="3">
    <mergeCell ref="B1:F1"/>
    <mergeCell ref="B93:O93"/>
    <mergeCell ref="H1:Q1"/>
  </mergeCell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scale="90" orientation="landscape" r:id="rId1"/>
  <rowBreaks count="2" manualBreakCount="2">
    <brk id="35" max="16383" man="1"/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pane ySplit="2" topLeftCell="A18" activePane="bottomLeft" state="frozen"/>
      <selection pane="bottomLeft" activeCell="B42" sqref="B42"/>
    </sheetView>
  </sheetViews>
  <sheetFormatPr defaultRowHeight="13.2" x14ac:dyDescent="0.25"/>
  <cols>
    <col min="1" max="1" width="48.33203125" style="123" customWidth="1"/>
    <col min="2" max="2" width="15.33203125" style="123" customWidth="1"/>
    <col min="3" max="3" width="16.6640625" style="123" customWidth="1"/>
    <col min="4" max="4" width="11.33203125" style="123" customWidth="1"/>
    <col min="5" max="5" width="14.33203125" style="123" customWidth="1"/>
    <col min="6" max="16384" width="8.88671875" style="123"/>
  </cols>
  <sheetData>
    <row r="1" spans="1:5" ht="15" customHeight="1" x14ac:dyDescent="0.25">
      <c r="A1" s="226" t="s">
        <v>482</v>
      </c>
      <c r="B1" s="226"/>
      <c r="C1" s="226"/>
      <c r="D1" s="226"/>
      <c r="E1" s="226"/>
    </row>
    <row r="2" spans="1:5" ht="15" customHeight="1" x14ac:dyDescent="0.25">
      <c r="A2" s="126" t="s">
        <v>523</v>
      </c>
      <c r="B2" s="127" t="s">
        <v>531</v>
      </c>
      <c r="C2" s="135" t="s">
        <v>532</v>
      </c>
      <c r="D2" s="127" t="s">
        <v>529</v>
      </c>
      <c r="E2" s="127" t="s">
        <v>530</v>
      </c>
    </row>
    <row r="3" spans="1:5" ht="15" customHeight="1" x14ac:dyDescent="0.25">
      <c r="A3" s="227" t="s">
        <v>593</v>
      </c>
      <c r="B3" s="227"/>
      <c r="C3" s="227"/>
      <c r="D3" s="227"/>
      <c r="E3" s="227"/>
    </row>
    <row r="4" spans="1:5" ht="15" customHeight="1" x14ac:dyDescent="0.25">
      <c r="A4" s="128" t="s">
        <v>549</v>
      </c>
      <c r="B4" s="91" t="s">
        <v>534</v>
      </c>
      <c r="C4" s="134">
        <v>5</v>
      </c>
      <c r="D4" s="129" t="s">
        <v>483</v>
      </c>
      <c r="E4" s="129">
        <v>70</v>
      </c>
    </row>
    <row r="5" spans="1:5" ht="15" customHeight="1" x14ac:dyDescent="0.25">
      <c r="A5" s="128" t="s">
        <v>550</v>
      </c>
      <c r="B5" s="130" t="s">
        <v>485</v>
      </c>
      <c r="C5" s="134">
        <v>5</v>
      </c>
      <c r="D5" s="129" t="s">
        <v>484</v>
      </c>
      <c r="E5" s="129">
        <v>75</v>
      </c>
    </row>
    <row r="6" spans="1:5" ht="15" customHeight="1" x14ac:dyDescent="0.25">
      <c r="A6" s="131" t="s">
        <v>551</v>
      </c>
      <c r="B6" s="130" t="s">
        <v>487</v>
      </c>
      <c r="C6" s="134">
        <v>4</v>
      </c>
      <c r="D6" s="129" t="s">
        <v>486</v>
      </c>
      <c r="E6" s="129">
        <v>75</v>
      </c>
    </row>
    <row r="7" spans="1:5" ht="15" customHeight="1" x14ac:dyDescent="0.25">
      <c r="A7" s="131" t="s">
        <v>552</v>
      </c>
      <c r="B7" s="129" t="s">
        <v>535</v>
      </c>
      <c r="C7" s="134">
        <v>2.5</v>
      </c>
      <c r="D7" s="129" t="s">
        <v>488</v>
      </c>
      <c r="E7" s="129">
        <v>75</v>
      </c>
    </row>
    <row r="8" spans="1:5" ht="15" customHeight="1" x14ac:dyDescent="0.25">
      <c r="A8" s="131" t="s">
        <v>553</v>
      </c>
      <c r="B8" s="129" t="s">
        <v>536</v>
      </c>
      <c r="C8" s="134">
        <v>1.5</v>
      </c>
      <c r="D8" s="129" t="s">
        <v>489</v>
      </c>
      <c r="E8" s="129">
        <v>75</v>
      </c>
    </row>
    <row r="9" spans="1:5" ht="15" customHeight="1" x14ac:dyDescent="0.25">
      <c r="A9" s="131" t="s">
        <v>554</v>
      </c>
      <c r="B9" s="130" t="s">
        <v>485</v>
      </c>
      <c r="C9" s="134">
        <v>8</v>
      </c>
      <c r="D9" s="129" t="s">
        <v>490</v>
      </c>
      <c r="E9" s="129">
        <v>75</v>
      </c>
    </row>
    <row r="10" spans="1:5" ht="15" customHeight="1" x14ac:dyDescent="0.25">
      <c r="A10" s="131" t="s">
        <v>555</v>
      </c>
      <c r="B10" s="130" t="s">
        <v>491</v>
      </c>
      <c r="C10" s="134">
        <v>8</v>
      </c>
      <c r="D10" s="129" t="s">
        <v>490</v>
      </c>
      <c r="E10" s="129">
        <v>85</v>
      </c>
    </row>
    <row r="11" spans="1:5" ht="15" customHeight="1" x14ac:dyDescent="0.25">
      <c r="A11" s="131" t="s">
        <v>556</v>
      </c>
      <c r="B11" s="130" t="s">
        <v>493</v>
      </c>
      <c r="C11" s="134">
        <v>3</v>
      </c>
      <c r="D11" s="129" t="s">
        <v>492</v>
      </c>
      <c r="E11" s="129">
        <v>80</v>
      </c>
    </row>
    <row r="12" spans="1:5" ht="15" customHeight="1" x14ac:dyDescent="0.25">
      <c r="A12" s="131" t="s">
        <v>557</v>
      </c>
      <c r="B12" s="91" t="s">
        <v>537</v>
      </c>
      <c r="C12" s="134">
        <v>6</v>
      </c>
      <c r="D12" s="129" t="s">
        <v>494</v>
      </c>
      <c r="E12" s="129">
        <v>65</v>
      </c>
    </row>
    <row r="13" spans="1:5" ht="15" customHeight="1" x14ac:dyDescent="0.25">
      <c r="A13" s="131" t="s">
        <v>558</v>
      </c>
      <c r="B13" s="130" t="s">
        <v>485</v>
      </c>
      <c r="C13" s="134">
        <v>6</v>
      </c>
      <c r="D13" s="129" t="s">
        <v>490</v>
      </c>
      <c r="E13" s="129">
        <v>75</v>
      </c>
    </row>
    <row r="14" spans="1:5" ht="15" customHeight="1" x14ac:dyDescent="0.25">
      <c r="A14" s="131" t="s">
        <v>559</v>
      </c>
      <c r="B14" s="130" t="s">
        <v>495</v>
      </c>
      <c r="C14" s="134">
        <v>6</v>
      </c>
      <c r="D14" s="129" t="s">
        <v>492</v>
      </c>
      <c r="E14" s="129">
        <v>80</v>
      </c>
    </row>
    <row r="15" spans="1:5" ht="15" customHeight="1" x14ac:dyDescent="0.25">
      <c r="A15" s="131" t="s">
        <v>560</v>
      </c>
      <c r="B15" s="130" t="s">
        <v>491</v>
      </c>
      <c r="C15" s="134">
        <v>4</v>
      </c>
      <c r="D15" s="129" t="s">
        <v>496</v>
      </c>
      <c r="E15" s="129">
        <v>70</v>
      </c>
    </row>
    <row r="16" spans="1:5" ht="15" customHeight="1" x14ac:dyDescent="0.25">
      <c r="A16" s="131" t="s">
        <v>561</v>
      </c>
      <c r="B16" s="130" t="s">
        <v>497</v>
      </c>
      <c r="C16" s="134">
        <v>7</v>
      </c>
      <c r="D16" s="129" t="s">
        <v>492</v>
      </c>
      <c r="E16" s="129">
        <v>80</v>
      </c>
    </row>
    <row r="17" spans="1:5" ht="15" customHeight="1" x14ac:dyDescent="0.25">
      <c r="A17" s="131" t="s">
        <v>562</v>
      </c>
      <c r="B17" s="130" t="s">
        <v>498</v>
      </c>
      <c r="C17" s="134">
        <v>2</v>
      </c>
      <c r="D17" s="129"/>
      <c r="E17" s="129"/>
    </row>
    <row r="18" spans="1:5" ht="15" customHeight="1" x14ac:dyDescent="0.25">
      <c r="A18" s="125"/>
      <c r="B18" s="125"/>
      <c r="C18" s="125"/>
      <c r="D18" s="125"/>
      <c r="E18" s="125"/>
    </row>
    <row r="19" spans="1:5" ht="15" customHeight="1" x14ac:dyDescent="0.25">
      <c r="A19" s="228" t="s">
        <v>592</v>
      </c>
      <c r="B19" s="228"/>
      <c r="C19" s="228"/>
      <c r="D19" s="228"/>
      <c r="E19" s="228"/>
    </row>
    <row r="20" spans="1:5" ht="15" customHeight="1" x14ac:dyDescent="0.25">
      <c r="A20" s="128" t="s">
        <v>563</v>
      </c>
      <c r="B20" s="130" t="s">
        <v>500</v>
      </c>
      <c r="C20" s="134">
        <v>6</v>
      </c>
      <c r="D20" s="129" t="s">
        <v>499</v>
      </c>
      <c r="E20" s="129">
        <v>40</v>
      </c>
    </row>
    <row r="21" spans="1:5" ht="15" customHeight="1" x14ac:dyDescent="0.25">
      <c r="A21" s="128" t="s">
        <v>564</v>
      </c>
      <c r="B21" s="130" t="s">
        <v>500</v>
      </c>
      <c r="C21" s="134">
        <v>6</v>
      </c>
      <c r="D21" s="129" t="s">
        <v>501</v>
      </c>
      <c r="E21" s="129">
        <v>50</v>
      </c>
    </row>
    <row r="22" spans="1:5" ht="15" customHeight="1" x14ac:dyDescent="0.25">
      <c r="A22" s="128" t="s">
        <v>565</v>
      </c>
      <c r="B22" s="130" t="s">
        <v>503</v>
      </c>
      <c r="C22" s="134">
        <v>7</v>
      </c>
      <c r="D22" s="129" t="s">
        <v>502</v>
      </c>
      <c r="E22" s="129">
        <v>45</v>
      </c>
    </row>
    <row r="23" spans="1:5" ht="15" customHeight="1" x14ac:dyDescent="0.25">
      <c r="A23" s="131" t="s">
        <v>566</v>
      </c>
      <c r="B23" s="130" t="s">
        <v>504</v>
      </c>
      <c r="C23" s="134">
        <v>3</v>
      </c>
      <c r="D23" s="129" t="s">
        <v>502</v>
      </c>
      <c r="E23" s="129">
        <v>45</v>
      </c>
    </row>
    <row r="24" spans="1:5" ht="15" customHeight="1" x14ac:dyDescent="0.25">
      <c r="A24" s="131" t="s">
        <v>567</v>
      </c>
      <c r="B24" s="130" t="s">
        <v>505</v>
      </c>
      <c r="C24" s="134">
        <v>4</v>
      </c>
      <c r="D24" s="129" t="s">
        <v>502</v>
      </c>
      <c r="E24" s="129">
        <v>45</v>
      </c>
    </row>
    <row r="25" spans="1:5" ht="15" customHeight="1" x14ac:dyDescent="0.25">
      <c r="A25" s="128" t="s">
        <v>568</v>
      </c>
      <c r="B25" s="129" t="s">
        <v>538</v>
      </c>
      <c r="C25" s="134">
        <v>1.5</v>
      </c>
      <c r="D25" s="129" t="s">
        <v>506</v>
      </c>
      <c r="E25" s="129">
        <v>55</v>
      </c>
    </row>
    <row r="26" spans="1:5" ht="15" customHeight="1" x14ac:dyDescent="0.25">
      <c r="A26" s="128" t="s">
        <v>569</v>
      </c>
      <c r="B26" s="130" t="s">
        <v>487</v>
      </c>
      <c r="C26" s="134">
        <v>4</v>
      </c>
      <c r="D26" s="129" t="s">
        <v>506</v>
      </c>
      <c r="E26" s="129">
        <v>55</v>
      </c>
    </row>
    <row r="27" spans="1:5" ht="15" customHeight="1" x14ac:dyDescent="0.25">
      <c r="A27" s="131" t="s">
        <v>589</v>
      </c>
      <c r="B27" s="130" t="s">
        <v>485</v>
      </c>
      <c r="C27" s="134">
        <v>5</v>
      </c>
      <c r="D27" s="129" t="s">
        <v>507</v>
      </c>
      <c r="E27" s="129">
        <v>40</v>
      </c>
    </row>
    <row r="28" spans="1:5" ht="15" customHeight="1" x14ac:dyDescent="0.25">
      <c r="A28" s="131" t="s">
        <v>570</v>
      </c>
      <c r="B28" s="130" t="s">
        <v>485</v>
      </c>
      <c r="C28" s="134">
        <v>5</v>
      </c>
      <c r="D28" s="129" t="s">
        <v>507</v>
      </c>
      <c r="E28" s="129">
        <v>40</v>
      </c>
    </row>
    <row r="29" spans="1:5" ht="15" customHeight="1" x14ac:dyDescent="0.25">
      <c r="A29" s="128" t="s">
        <v>571</v>
      </c>
      <c r="B29" s="130" t="s">
        <v>509</v>
      </c>
      <c r="C29" s="134">
        <v>5</v>
      </c>
      <c r="D29" s="129" t="s">
        <v>508</v>
      </c>
      <c r="E29" s="129">
        <v>65</v>
      </c>
    </row>
    <row r="30" spans="1:5" ht="15" customHeight="1" x14ac:dyDescent="0.25">
      <c r="A30" s="128" t="s">
        <v>572</v>
      </c>
      <c r="B30" s="130" t="s">
        <v>511</v>
      </c>
      <c r="C30" s="134">
        <v>8</v>
      </c>
      <c r="D30" s="129" t="s">
        <v>510</v>
      </c>
      <c r="E30" s="129">
        <v>60</v>
      </c>
    </row>
    <row r="31" spans="1:5" ht="15" customHeight="1" x14ac:dyDescent="0.25">
      <c r="A31" s="131" t="s">
        <v>573</v>
      </c>
      <c r="B31" s="130" t="s">
        <v>511</v>
      </c>
      <c r="C31" s="134">
        <v>3</v>
      </c>
      <c r="D31" s="129" t="s">
        <v>510</v>
      </c>
      <c r="E31" s="129">
        <v>60</v>
      </c>
    </row>
    <row r="32" spans="1:5" ht="15" customHeight="1" x14ac:dyDescent="0.25">
      <c r="A32" s="125"/>
      <c r="B32" s="125"/>
      <c r="C32" s="125"/>
      <c r="D32" s="125"/>
      <c r="E32" s="125"/>
    </row>
    <row r="33" spans="1:5" ht="15" customHeight="1" x14ac:dyDescent="0.25">
      <c r="A33" s="227" t="s">
        <v>590</v>
      </c>
      <c r="B33" s="227"/>
      <c r="C33" s="227"/>
      <c r="D33" s="229"/>
      <c r="E33" s="229"/>
    </row>
    <row r="34" spans="1:5" ht="15" customHeight="1" x14ac:dyDescent="0.25">
      <c r="A34" s="131" t="s">
        <v>574</v>
      </c>
      <c r="B34" s="129" t="s">
        <v>535</v>
      </c>
      <c r="C34" s="134">
        <v>3</v>
      </c>
      <c r="D34" s="129" t="s">
        <v>494</v>
      </c>
      <c r="E34" s="129">
        <v>65</v>
      </c>
    </row>
    <row r="35" spans="1:5" ht="15" customHeight="1" x14ac:dyDescent="0.25">
      <c r="A35" s="131" t="s">
        <v>575</v>
      </c>
      <c r="B35" s="129" t="s">
        <v>539</v>
      </c>
      <c r="C35" s="134">
        <v>2</v>
      </c>
      <c r="D35" s="129" t="s">
        <v>512</v>
      </c>
      <c r="E35" s="129">
        <v>65</v>
      </c>
    </row>
    <row r="36" spans="1:5" ht="15" customHeight="1" x14ac:dyDescent="0.25">
      <c r="A36" s="131" t="s">
        <v>576</v>
      </c>
      <c r="B36" s="129" t="s">
        <v>540</v>
      </c>
      <c r="C36" s="134">
        <v>4</v>
      </c>
      <c r="D36" s="129" t="s">
        <v>513</v>
      </c>
      <c r="E36" s="129">
        <v>45</v>
      </c>
    </row>
    <row r="37" spans="1:5" ht="15" customHeight="1" x14ac:dyDescent="0.25">
      <c r="A37" s="131" t="s">
        <v>577</v>
      </c>
      <c r="B37" s="132" t="s">
        <v>487</v>
      </c>
      <c r="C37" s="134">
        <v>4</v>
      </c>
      <c r="D37" s="129" t="s">
        <v>514</v>
      </c>
      <c r="E37" s="129">
        <v>45</v>
      </c>
    </row>
    <row r="38" spans="1:5" ht="15" customHeight="1" x14ac:dyDescent="0.25">
      <c r="A38" s="131" t="s">
        <v>578</v>
      </c>
      <c r="B38" s="132" t="s">
        <v>515</v>
      </c>
      <c r="C38" s="134">
        <v>5</v>
      </c>
      <c r="D38" s="129" t="s">
        <v>510</v>
      </c>
      <c r="E38" s="129">
        <v>60</v>
      </c>
    </row>
    <row r="39" spans="1:5" ht="15" customHeight="1" x14ac:dyDescent="0.25">
      <c r="A39" s="131" t="s">
        <v>579</v>
      </c>
      <c r="B39" s="132" t="s">
        <v>541</v>
      </c>
      <c r="C39" s="134">
        <v>3</v>
      </c>
      <c r="D39" s="129" t="s">
        <v>510</v>
      </c>
      <c r="E39" s="129">
        <v>60</v>
      </c>
    </row>
    <row r="40" spans="1:5" ht="15" customHeight="1" x14ac:dyDescent="0.25">
      <c r="A40" s="131" t="s">
        <v>580</v>
      </c>
      <c r="B40" s="132" t="s">
        <v>504</v>
      </c>
      <c r="C40" s="134">
        <v>3</v>
      </c>
      <c r="D40" s="129" t="s">
        <v>516</v>
      </c>
      <c r="E40" s="129">
        <v>55</v>
      </c>
    </row>
    <row r="41" spans="1:5" ht="15" customHeight="1" x14ac:dyDescent="0.25">
      <c r="A41" s="131" t="s">
        <v>594</v>
      </c>
      <c r="B41" s="132" t="s">
        <v>595</v>
      </c>
      <c r="C41" s="134">
        <v>2</v>
      </c>
      <c r="D41" s="129" t="s">
        <v>501</v>
      </c>
      <c r="E41" s="129">
        <v>50</v>
      </c>
    </row>
    <row r="42" spans="1:5" ht="15" customHeight="1" x14ac:dyDescent="0.25">
      <c r="A42" s="131" t="s">
        <v>581</v>
      </c>
      <c r="B42" s="132" t="s">
        <v>517</v>
      </c>
      <c r="C42" s="134">
        <v>4</v>
      </c>
      <c r="D42" s="129" t="s">
        <v>501</v>
      </c>
      <c r="E42" s="129">
        <v>50</v>
      </c>
    </row>
    <row r="43" spans="1:5" ht="15" customHeight="1" x14ac:dyDescent="0.25">
      <c r="A43" s="128" t="s">
        <v>582</v>
      </c>
      <c r="B43" s="132" t="s">
        <v>518</v>
      </c>
      <c r="C43" s="134">
        <v>3</v>
      </c>
      <c r="D43" s="129" t="s">
        <v>513</v>
      </c>
      <c r="E43" s="129">
        <v>45</v>
      </c>
    </row>
    <row r="44" spans="1:5" ht="15" customHeight="1" x14ac:dyDescent="0.25">
      <c r="A44" s="128" t="s">
        <v>583</v>
      </c>
      <c r="B44" s="132" t="s">
        <v>518</v>
      </c>
      <c r="C44" s="134">
        <v>3</v>
      </c>
      <c r="D44" s="129" t="s">
        <v>519</v>
      </c>
      <c r="E44" s="129">
        <v>55</v>
      </c>
    </row>
    <row r="45" spans="1:5" ht="15" customHeight="1" x14ac:dyDescent="0.25">
      <c r="A45" s="131" t="s">
        <v>584</v>
      </c>
      <c r="B45" s="132" t="s">
        <v>521</v>
      </c>
      <c r="C45" s="134">
        <v>6</v>
      </c>
      <c r="D45" s="129" t="s">
        <v>492</v>
      </c>
      <c r="E45" s="129">
        <v>80</v>
      </c>
    </row>
    <row r="46" spans="1:5" ht="15" customHeight="1" x14ac:dyDescent="0.25">
      <c r="A46" s="131" t="s">
        <v>585</v>
      </c>
      <c r="B46" s="132" t="s">
        <v>521</v>
      </c>
      <c r="C46" s="134">
        <v>6</v>
      </c>
      <c r="D46" s="129" t="s">
        <v>520</v>
      </c>
      <c r="E46" s="129">
        <v>65</v>
      </c>
    </row>
    <row r="47" spans="1:5" ht="15" customHeight="1" x14ac:dyDescent="0.25">
      <c r="A47" s="125"/>
      <c r="B47" s="125"/>
      <c r="C47" s="125"/>
      <c r="D47" s="125"/>
      <c r="E47" s="125"/>
    </row>
    <row r="48" spans="1:5" ht="15" customHeight="1" x14ac:dyDescent="0.25">
      <c r="A48" s="227" t="s">
        <v>591</v>
      </c>
      <c r="B48" s="227"/>
      <c r="C48" s="227"/>
      <c r="D48" s="229"/>
      <c r="E48" s="229"/>
    </row>
    <row r="49" spans="1:5" ht="15" customHeight="1" x14ac:dyDescent="0.25">
      <c r="A49" s="131" t="s">
        <v>586</v>
      </c>
      <c r="B49" s="132" t="s">
        <v>522</v>
      </c>
      <c r="C49" s="134">
        <v>10</v>
      </c>
      <c r="D49" s="129"/>
      <c r="E49" s="129"/>
    </row>
    <row r="50" spans="1:5" ht="15" customHeight="1" x14ac:dyDescent="0.25">
      <c r="A50" s="131" t="s">
        <v>587</v>
      </c>
      <c r="B50" s="133" t="s">
        <v>533</v>
      </c>
      <c r="C50" s="134">
        <v>15</v>
      </c>
      <c r="D50" s="129"/>
      <c r="E50" s="129"/>
    </row>
    <row r="51" spans="1:5" ht="15" customHeight="1" x14ac:dyDescent="0.25">
      <c r="A51" s="131"/>
      <c r="B51" s="131"/>
      <c r="C51" s="131"/>
      <c r="D51" s="129"/>
      <c r="E51" s="129"/>
    </row>
    <row r="52" spans="1:5" ht="61.95" customHeight="1" x14ac:dyDescent="0.25">
      <c r="A52" s="230" t="s">
        <v>588</v>
      </c>
      <c r="B52" s="230"/>
      <c r="C52" s="230"/>
      <c r="D52" s="230"/>
      <c r="E52" s="230"/>
    </row>
    <row r="53" spans="1:5" ht="15" customHeight="1" x14ac:dyDescent="0.25">
      <c r="A53" s="124"/>
      <c r="B53" s="124"/>
      <c r="C53" s="124"/>
    </row>
    <row r="54" spans="1:5" ht="15" customHeight="1" x14ac:dyDescent="0.25"/>
    <row r="55" spans="1:5" ht="15" customHeight="1" x14ac:dyDescent="0.25"/>
    <row r="56" spans="1:5" ht="15" customHeight="1" x14ac:dyDescent="0.25"/>
    <row r="57" spans="1:5" ht="15" customHeight="1" x14ac:dyDescent="0.25"/>
    <row r="58" spans="1:5" ht="15" customHeight="1" x14ac:dyDescent="0.25"/>
    <row r="59" spans="1:5" ht="15" customHeight="1" x14ac:dyDescent="0.25"/>
    <row r="60" spans="1:5" ht="15" customHeight="1" x14ac:dyDescent="0.25"/>
  </sheetData>
  <mergeCells count="6">
    <mergeCell ref="A1:E1"/>
    <mergeCell ref="A3:E3"/>
    <mergeCell ref="A19:E19"/>
    <mergeCell ref="A33:E33"/>
    <mergeCell ref="A48:E48"/>
    <mergeCell ref="A52:E52"/>
  </mergeCells>
  <hyperlinks>
    <hyperlink ref="A2" location="Rt_Cto_Eq!A1" display="&lt;"/>
  </hyperlinks>
  <printOptions horizontalCentered="1" gridLines="1"/>
  <pageMargins left="7.874015748031496E-2" right="7.874015748031496E-2" top="0.78740157480314965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ySplit="3" topLeftCell="A7" activePane="bottomLeft" state="frozen"/>
      <selection pane="bottomLeft" activeCell="M30" sqref="M30"/>
    </sheetView>
  </sheetViews>
  <sheetFormatPr defaultRowHeight="10.199999999999999" x14ac:dyDescent="0.25"/>
  <cols>
    <col min="1" max="1" width="24.5546875" style="74" customWidth="1"/>
    <col min="2" max="2" width="15.5546875" style="74" customWidth="1"/>
    <col min="3" max="3" width="9.44140625" style="74" customWidth="1"/>
    <col min="4" max="8" width="8.6640625" style="74" customWidth="1"/>
    <col min="9" max="9" width="8.44140625" style="74" customWidth="1"/>
    <col min="10" max="10" width="12" style="74" customWidth="1"/>
    <col min="11" max="11" width="11.5546875" style="74" customWidth="1"/>
    <col min="12" max="13" width="10.6640625" style="74" customWidth="1"/>
    <col min="14" max="16384" width="8.88671875" style="74"/>
  </cols>
  <sheetData>
    <row r="1" spans="1:13" ht="25.2" customHeight="1" x14ac:dyDescent="0.25">
      <c r="A1" s="99"/>
      <c r="B1" s="205" t="s">
        <v>430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25.2" customHeight="1" x14ac:dyDescent="0.25">
      <c r="A2" s="203" t="s">
        <v>432</v>
      </c>
      <c r="B2" s="61" t="s">
        <v>366</v>
      </c>
      <c r="C2" s="61" t="s">
        <v>367</v>
      </c>
      <c r="D2" s="100" t="s">
        <v>368</v>
      </c>
      <c r="E2" s="61" t="s">
        <v>369</v>
      </c>
      <c r="F2" s="101" t="s">
        <v>370</v>
      </c>
      <c r="G2" s="62" t="s">
        <v>371</v>
      </c>
      <c r="H2" s="62" t="s">
        <v>371</v>
      </c>
      <c r="I2" s="206" t="s">
        <v>603</v>
      </c>
      <c r="J2" s="62" t="str">
        <f>+[1]Dados!A1</f>
        <v>Milho Silagem</v>
      </c>
      <c r="K2" s="62" t="str">
        <f>+[1]Dados!A1</f>
        <v>Milho Silagem</v>
      </c>
      <c r="L2" s="206" t="s">
        <v>602</v>
      </c>
      <c r="M2" s="26" t="s">
        <v>102</v>
      </c>
    </row>
    <row r="3" spans="1:13" ht="25.2" customHeight="1" x14ac:dyDescent="0.25">
      <c r="A3" s="204"/>
      <c r="B3" s="61" t="s">
        <v>372</v>
      </c>
      <c r="C3" s="61" t="s">
        <v>373</v>
      </c>
      <c r="D3" s="61" t="s">
        <v>374</v>
      </c>
      <c r="E3" s="61" t="s">
        <v>375</v>
      </c>
      <c r="F3" s="62" t="s">
        <v>130</v>
      </c>
      <c r="G3" s="62" t="s">
        <v>375</v>
      </c>
      <c r="H3" s="62" t="s">
        <v>376</v>
      </c>
      <c r="I3" s="207"/>
      <c r="J3" s="62" t="s">
        <v>376</v>
      </c>
      <c r="K3" s="62" t="s">
        <v>598</v>
      </c>
      <c r="L3" s="207"/>
      <c r="M3" s="26" t="s">
        <v>438</v>
      </c>
    </row>
    <row r="4" spans="1:13" ht="25.2" customHeight="1" x14ac:dyDescent="0.25">
      <c r="A4" s="85" t="str">
        <f>+Dados!A14</f>
        <v>Trator 53 cv (39 kW)
LinhaNº4 (IHERA)</v>
      </c>
      <c r="B4" s="61"/>
      <c r="C4" s="61"/>
      <c r="D4" s="61"/>
      <c r="E4" s="61"/>
      <c r="F4" s="62"/>
      <c r="G4" s="62"/>
      <c r="H4" s="62"/>
      <c r="I4" s="62"/>
      <c r="J4" s="62"/>
      <c r="K4" s="62">
        <f>+K8+K12+K15+K16+K17</f>
        <v>113.84389569675002</v>
      </c>
      <c r="L4" s="61">
        <f>+M4/K4</f>
        <v>4.3919790072176337</v>
      </c>
      <c r="M4" s="27">
        <f>+IHERA_Trat!I9</f>
        <v>500</v>
      </c>
    </row>
    <row r="5" spans="1:13" ht="25.2" customHeight="1" x14ac:dyDescent="0.25">
      <c r="A5" s="85" t="str">
        <f>+Dados!A15</f>
        <v>Trator 45 cv (33 kW)
LinhaNº3 (IHERA)</v>
      </c>
      <c r="B5" s="61"/>
      <c r="C5" s="61"/>
      <c r="D5" s="61"/>
      <c r="E5" s="61"/>
      <c r="F5" s="62"/>
      <c r="G5" s="62"/>
      <c r="H5" s="62"/>
      <c r="I5" s="62"/>
      <c r="J5" s="62"/>
      <c r="K5" s="62">
        <f>+K9+K10+K11+K13+K14+K19</f>
        <v>71.131391222678531</v>
      </c>
      <c r="L5" s="61">
        <f>+M5/K5</f>
        <v>7.0292453360674187</v>
      </c>
      <c r="M5" s="27">
        <f>+IHERA_Trat!I8</f>
        <v>500</v>
      </c>
    </row>
    <row r="6" spans="1:13" ht="25.2" customHeight="1" x14ac:dyDescent="0.25">
      <c r="A6" s="85" t="str">
        <f>+Dados!A16</f>
        <v>Trator 27 cv (20 kW)
LinhaNº1 (IHERA)</v>
      </c>
      <c r="B6" s="61"/>
      <c r="C6" s="61"/>
      <c r="D6" s="61"/>
      <c r="E6" s="61"/>
      <c r="F6" s="62"/>
      <c r="G6" s="62"/>
      <c r="H6" s="62"/>
      <c r="I6" s="62"/>
      <c r="J6" s="62"/>
      <c r="K6" s="62">
        <f>+K17</f>
        <v>72.5</v>
      </c>
      <c r="L6" s="61">
        <f>+M6/K6</f>
        <v>6.8965517241379306</v>
      </c>
      <c r="M6" s="27">
        <f>+IHERA_Trat!I6</f>
        <v>500</v>
      </c>
    </row>
    <row r="7" spans="1:13" ht="4.95" customHeight="1" x14ac:dyDescent="0.25">
      <c r="A7" s="64"/>
      <c r="B7" s="61"/>
      <c r="C7" s="61"/>
      <c r="D7" s="61"/>
      <c r="E7" s="61"/>
      <c r="F7" s="62"/>
      <c r="G7" s="62"/>
      <c r="H7" s="62"/>
      <c r="I7" s="62"/>
      <c r="J7" s="62"/>
      <c r="K7" s="62"/>
      <c r="L7" s="62"/>
      <c r="M7" s="26"/>
    </row>
    <row r="8" spans="1:13" ht="25.2" customHeight="1" x14ac:dyDescent="0.25">
      <c r="A8" s="84" t="str">
        <f>+Dados!A37</f>
        <v>Charrua de 2F (Tr 53 cv)
LinhaNº24 (IHERA)</v>
      </c>
      <c r="B8" s="30">
        <f>+Dados!H2*0.6</f>
        <v>3.48</v>
      </c>
      <c r="C8" s="30">
        <f>2*12*2.54*1.1/100</f>
        <v>0.67056000000000016</v>
      </c>
      <c r="D8" s="30">
        <f>+Dados!P37</f>
        <v>5</v>
      </c>
      <c r="E8" s="30">
        <f t="shared" ref="E8:E18" si="0">(C8*D8)/10</f>
        <v>0.33528000000000008</v>
      </c>
      <c r="F8" s="63">
        <f>+Dados!Q37</f>
        <v>70</v>
      </c>
      <c r="G8" s="30">
        <f t="shared" ref="G8:G18" si="1">(E8*F8)/100</f>
        <v>0.23469600000000007</v>
      </c>
      <c r="H8" s="30">
        <f>1/G8</f>
        <v>4.2608310324845746</v>
      </c>
      <c r="I8" s="30">
        <v>1</v>
      </c>
      <c r="J8" s="30">
        <f>H8*I8</f>
        <v>4.2608310324845746</v>
      </c>
      <c r="K8" s="30">
        <f t="shared" ref="K8:K18" si="2">+J8*B8</f>
        <v>14.82769199304632</v>
      </c>
      <c r="L8" s="30">
        <f>+Dados!N37</f>
        <v>1.517241379310345</v>
      </c>
      <c r="M8" s="30">
        <f t="shared" ref="M8:M19" si="3">+K8*L8</f>
        <v>22.497187851518557</v>
      </c>
    </row>
    <row r="9" spans="1:13" ht="25.2" customHeight="1" x14ac:dyDescent="0.25">
      <c r="A9" s="84" t="str">
        <f>+Dados!A38</f>
        <v>Charrua de 1F  (Tr 45 cv)
LinhaNº19 (IHERA)</v>
      </c>
      <c r="B9" s="31">
        <f>+Dados!H2*0.4</f>
        <v>2.3199999999999998</v>
      </c>
      <c r="C9" s="30">
        <f>1*14*2.54*1.1/100</f>
        <v>0.39116000000000006</v>
      </c>
      <c r="D9" s="30">
        <f>+Dados!P38</f>
        <v>5</v>
      </c>
      <c r="E9" s="30">
        <f t="shared" si="0"/>
        <v>0.19558000000000003</v>
      </c>
      <c r="F9" s="63">
        <f>+Dados!Q38</f>
        <v>70</v>
      </c>
      <c r="G9" s="30">
        <f t="shared" si="1"/>
        <v>0.13690600000000003</v>
      </c>
      <c r="H9" s="30">
        <f t="shared" ref="H9:H18" si="4">1/G9</f>
        <v>7.3042817699735574</v>
      </c>
      <c r="I9" s="30">
        <v>1</v>
      </c>
      <c r="J9" s="30">
        <f t="shared" ref="J9:J19" si="5">H9*I9</f>
        <v>7.3042817699735574</v>
      </c>
      <c r="K9" s="30">
        <f t="shared" si="2"/>
        <v>16.945933706338653</v>
      </c>
      <c r="L9" s="30">
        <f>+Dados!N38</f>
        <v>1.3448275862068966</v>
      </c>
      <c r="M9" s="30">
        <f t="shared" si="3"/>
        <v>22.789359122317499</v>
      </c>
    </row>
    <row r="10" spans="1:13" ht="25.2" customHeight="1" x14ac:dyDescent="0.25">
      <c r="A10" s="151" t="str">
        <f>+Dados!A39</f>
        <v>Dist.Cent (calcario) (Tr 45 cv)
LinhaNº105 (IHERA)</v>
      </c>
      <c r="B10" s="31">
        <f>+Dados!H2</f>
        <v>5.8</v>
      </c>
      <c r="C10" s="30">
        <v>4</v>
      </c>
      <c r="D10" s="30">
        <f>+Dados!P39</f>
        <v>6</v>
      </c>
      <c r="E10" s="30">
        <f t="shared" si="0"/>
        <v>2.4</v>
      </c>
      <c r="F10" s="63">
        <f>+Dados!Q39</f>
        <v>50</v>
      </c>
      <c r="G10" s="30">
        <f t="shared" si="1"/>
        <v>1.2</v>
      </c>
      <c r="H10" s="30">
        <f t="shared" si="4"/>
        <v>0.83333333333333337</v>
      </c>
      <c r="I10" s="30">
        <v>0.33333333333333331</v>
      </c>
      <c r="J10" s="30">
        <f t="shared" si="5"/>
        <v>0.27777777777777779</v>
      </c>
      <c r="K10" s="30">
        <f t="shared" si="2"/>
        <v>1.6111111111111112</v>
      </c>
      <c r="L10" s="30">
        <f>+Dados!N39</f>
        <v>1.1954022988505748</v>
      </c>
      <c r="M10" s="76">
        <f t="shared" si="3"/>
        <v>1.925925925925926</v>
      </c>
    </row>
    <row r="11" spans="1:13" ht="25.2" customHeight="1" x14ac:dyDescent="0.25">
      <c r="A11" s="151" t="str">
        <f>+Dados!A40</f>
        <v>Dist.Cent (adubo) (Tr 45 cv)
LinhaNº105 (IHERA)</v>
      </c>
      <c r="B11" s="31">
        <f>+Dados!H2</f>
        <v>5.8</v>
      </c>
      <c r="C11" s="30">
        <v>6</v>
      </c>
      <c r="D11" s="30">
        <f>+Dados!P39</f>
        <v>6</v>
      </c>
      <c r="E11" s="30">
        <f t="shared" si="0"/>
        <v>3.6</v>
      </c>
      <c r="F11" s="63">
        <f>+Dados!Q39</f>
        <v>50</v>
      </c>
      <c r="G11" s="30">
        <f t="shared" si="1"/>
        <v>1.8</v>
      </c>
      <c r="H11" s="30">
        <f t="shared" si="4"/>
        <v>0.55555555555555558</v>
      </c>
      <c r="I11" s="30">
        <v>1</v>
      </c>
      <c r="J11" s="30">
        <f t="shared" si="5"/>
        <v>0.55555555555555558</v>
      </c>
      <c r="K11" s="30">
        <f t="shared" si="2"/>
        <v>3.2222222222222223</v>
      </c>
      <c r="L11" s="30">
        <f>+Dados!N40</f>
        <v>1.8620689655172415</v>
      </c>
      <c r="M11" s="76">
        <f t="shared" si="3"/>
        <v>6.0000000000000009</v>
      </c>
    </row>
    <row r="12" spans="1:13" ht="25.2" customHeight="1" x14ac:dyDescent="0.25">
      <c r="A12" s="73" t="str">
        <f>+Dados!A41</f>
        <v>Grad.discos  (Tr 53 cv)
LinhaNº45 (IHERA)</v>
      </c>
      <c r="B12" s="31">
        <f>+Dados!H2</f>
        <v>5.8</v>
      </c>
      <c r="C12" s="30">
        <v>1.8</v>
      </c>
      <c r="D12" s="30">
        <f>+Dados!P41</f>
        <v>6</v>
      </c>
      <c r="E12" s="30">
        <f t="shared" si="0"/>
        <v>1.08</v>
      </c>
      <c r="F12" s="63">
        <f>+Dados!Q41</f>
        <v>80</v>
      </c>
      <c r="G12" s="30">
        <f t="shared" si="1"/>
        <v>0.8640000000000001</v>
      </c>
      <c r="H12" s="30">
        <f t="shared" si="4"/>
        <v>1.1574074074074072</v>
      </c>
      <c r="I12" s="30">
        <v>2</v>
      </c>
      <c r="J12" s="30">
        <f t="shared" si="5"/>
        <v>2.3148148148148144</v>
      </c>
      <c r="K12" s="30">
        <f t="shared" si="2"/>
        <v>13.425925925925924</v>
      </c>
      <c r="L12" s="30">
        <f>+Dados!N41</f>
        <v>1.8620689655172415</v>
      </c>
      <c r="M12" s="30">
        <f t="shared" si="3"/>
        <v>25</v>
      </c>
    </row>
    <row r="13" spans="1:13" ht="25.2" customHeight="1" x14ac:dyDescent="0.25">
      <c r="A13" s="72" t="str">
        <f>+Dados!A42</f>
        <v>PJP 300 l  (Tr 45 cv)
LinhaNº125 (IHERA)</v>
      </c>
      <c r="B13" s="31">
        <f>+Dados!H2</f>
        <v>5.8</v>
      </c>
      <c r="C13" s="30">
        <v>8</v>
      </c>
      <c r="D13" s="30">
        <f>+Dados!P42</f>
        <v>5</v>
      </c>
      <c r="E13" s="30">
        <f t="shared" si="0"/>
        <v>4</v>
      </c>
      <c r="F13" s="63">
        <f>+Dados!Q42</f>
        <v>40</v>
      </c>
      <c r="G13" s="30">
        <f t="shared" si="1"/>
        <v>1.6</v>
      </c>
      <c r="H13" s="30">
        <f t="shared" si="4"/>
        <v>0.625</v>
      </c>
      <c r="I13" s="30">
        <v>1</v>
      </c>
      <c r="J13" s="30">
        <f t="shared" si="5"/>
        <v>0.625</v>
      </c>
      <c r="K13" s="30">
        <f t="shared" si="2"/>
        <v>3.625</v>
      </c>
      <c r="L13" s="30">
        <f>+Dados!N42</f>
        <v>1.8620689655172415</v>
      </c>
      <c r="M13" s="30">
        <f t="shared" si="3"/>
        <v>6.7500000000000009</v>
      </c>
    </row>
    <row r="14" spans="1:13" ht="25.2" customHeight="1" x14ac:dyDescent="0.25">
      <c r="A14" s="73" t="str">
        <f>+Dados!A43</f>
        <v>Vibrocultor  (Tr 45 cv)
LinhaNº84 (IHERA)</v>
      </c>
      <c r="B14" s="31">
        <f>+Dados!H2</f>
        <v>5.8</v>
      </c>
      <c r="C14" s="30">
        <v>1.8</v>
      </c>
      <c r="D14" s="30">
        <f>+Dados!P43</f>
        <v>8</v>
      </c>
      <c r="E14" s="30">
        <f t="shared" si="0"/>
        <v>1.44</v>
      </c>
      <c r="F14" s="63">
        <f>+Dados!Q43</f>
        <v>85</v>
      </c>
      <c r="G14" s="30">
        <f t="shared" si="1"/>
        <v>1.224</v>
      </c>
      <c r="H14" s="30">
        <f t="shared" si="4"/>
        <v>0.81699346405228757</v>
      </c>
      <c r="I14" s="30">
        <v>2</v>
      </c>
      <c r="J14" s="30">
        <f t="shared" si="5"/>
        <v>1.6339869281045751</v>
      </c>
      <c r="K14" s="30">
        <f t="shared" si="2"/>
        <v>9.477124183006536</v>
      </c>
      <c r="L14" s="30">
        <f>+Dados!N43</f>
        <v>1.8620689655172415</v>
      </c>
      <c r="M14" s="30">
        <f t="shared" si="3"/>
        <v>17.647058823529413</v>
      </c>
    </row>
    <row r="15" spans="1:13" ht="25.2" customHeight="1" x14ac:dyDescent="0.25">
      <c r="A15" s="72" t="str">
        <f>+Dados!A44</f>
        <v>Sem.Mono (Tr 53 cv)
LinhaNº117 (IHERA)</v>
      </c>
      <c r="B15" s="31">
        <f>+Dados!H2</f>
        <v>5.8</v>
      </c>
      <c r="C15" s="30">
        <v>2.4</v>
      </c>
      <c r="D15" s="30">
        <f>+Dados!P44</f>
        <v>8</v>
      </c>
      <c r="E15" s="30">
        <f t="shared" si="0"/>
        <v>1.92</v>
      </c>
      <c r="F15" s="63">
        <f>+Dados!Q44</f>
        <v>60</v>
      </c>
      <c r="G15" s="30">
        <f t="shared" si="1"/>
        <v>1.1519999999999999</v>
      </c>
      <c r="H15" s="30">
        <f t="shared" si="4"/>
        <v>0.86805555555555558</v>
      </c>
      <c r="I15" s="30">
        <v>1</v>
      </c>
      <c r="J15" s="30">
        <f t="shared" si="5"/>
        <v>0.86805555555555558</v>
      </c>
      <c r="K15" s="30">
        <f t="shared" si="2"/>
        <v>5.0347222222222223</v>
      </c>
      <c r="L15" s="30">
        <f>+Dados!N44</f>
        <v>1</v>
      </c>
      <c r="M15" s="30">
        <f t="shared" si="3"/>
        <v>5.0347222222222223</v>
      </c>
    </row>
    <row r="16" spans="1:13" ht="25.2" customHeight="1" x14ac:dyDescent="0.25">
      <c r="A16" s="72" t="str">
        <f>+Dados!A45</f>
        <v>Derreg.  (Tr 53 cv)
LinhaNº100 (IHERA)</v>
      </c>
      <c r="B16" s="31">
        <f>+Dados!H2</f>
        <v>5.8</v>
      </c>
      <c r="C16" s="30">
        <v>2.4</v>
      </c>
      <c r="D16" s="30">
        <f>+Dados!P45</f>
        <v>4</v>
      </c>
      <c r="E16" s="30">
        <f t="shared" si="0"/>
        <v>0.96</v>
      </c>
      <c r="F16" s="63">
        <f>+Dados!Q45</f>
        <v>75</v>
      </c>
      <c r="G16" s="30">
        <f t="shared" si="1"/>
        <v>0.72</v>
      </c>
      <c r="H16" s="30">
        <f t="shared" si="4"/>
        <v>1.3888888888888888</v>
      </c>
      <c r="I16" s="30">
        <v>1</v>
      </c>
      <c r="J16" s="30">
        <f t="shared" si="5"/>
        <v>1.3888888888888888</v>
      </c>
      <c r="K16" s="30">
        <f t="shared" si="2"/>
        <v>8.0555555555555554</v>
      </c>
      <c r="L16" s="30">
        <f>+Dados!N45</f>
        <v>1.8620689655172415</v>
      </c>
      <c r="M16" s="30">
        <f t="shared" si="3"/>
        <v>15.000000000000002</v>
      </c>
    </row>
    <row r="17" spans="1:13" ht="25.2" customHeight="1" x14ac:dyDescent="0.25">
      <c r="A17" s="72" t="str">
        <f>+Dados!A46</f>
        <v>Col.Milho (1 linha)  (Tr 53 cv)
LinhaNº148 (IHERA)</v>
      </c>
      <c r="B17" s="31">
        <f>+Dados!H2</f>
        <v>5.8</v>
      </c>
      <c r="C17" s="30">
        <v>0.8</v>
      </c>
      <c r="D17" s="30">
        <f>+Dados!P46</f>
        <v>2</v>
      </c>
      <c r="E17" s="30">
        <f t="shared" si="0"/>
        <v>0.16</v>
      </c>
      <c r="F17" s="63">
        <f>+Dados!Q46</f>
        <v>50</v>
      </c>
      <c r="G17" s="30">
        <f t="shared" si="1"/>
        <v>0.08</v>
      </c>
      <c r="H17" s="30">
        <f t="shared" si="4"/>
        <v>12.5</v>
      </c>
      <c r="I17" s="30">
        <v>1</v>
      </c>
      <c r="J17" s="30">
        <f t="shared" si="5"/>
        <v>12.5</v>
      </c>
      <c r="K17" s="30">
        <f t="shared" si="2"/>
        <v>72.5</v>
      </c>
      <c r="L17" s="30">
        <f>+Dados!N46</f>
        <v>1</v>
      </c>
      <c r="M17" s="30">
        <f t="shared" si="3"/>
        <v>72.5</v>
      </c>
    </row>
    <row r="18" spans="1:13" ht="25.2" customHeight="1" x14ac:dyDescent="0.25">
      <c r="A18" s="72" t="str">
        <f>+Dados!A47</f>
        <v>Semi-R. 5000 kg  (Tr 53 cv)
LinhaNº164 (IHERA)</v>
      </c>
      <c r="B18" s="31">
        <f>+Dados!H2/2</f>
        <v>2.9</v>
      </c>
      <c r="C18" s="30">
        <v>0.8</v>
      </c>
      <c r="D18" s="30">
        <f>+Dados!P46</f>
        <v>2</v>
      </c>
      <c r="E18" s="30">
        <f t="shared" si="0"/>
        <v>0.16</v>
      </c>
      <c r="F18" s="63">
        <f>+Dados!Q47</f>
        <v>50</v>
      </c>
      <c r="G18" s="30">
        <f t="shared" si="1"/>
        <v>0.08</v>
      </c>
      <c r="H18" s="30">
        <f t="shared" si="4"/>
        <v>12.5</v>
      </c>
      <c r="I18" s="30">
        <v>1</v>
      </c>
      <c r="J18" s="30">
        <f t="shared" si="5"/>
        <v>12.5</v>
      </c>
      <c r="K18" s="30">
        <f t="shared" si="2"/>
        <v>36.25</v>
      </c>
      <c r="L18" s="30">
        <f>+Dados!N47</f>
        <v>1.4310344827586208</v>
      </c>
      <c r="M18" s="30">
        <f t="shared" si="3"/>
        <v>51.875</v>
      </c>
    </row>
    <row r="19" spans="1:13" ht="25.2" customHeight="1" x14ac:dyDescent="0.25">
      <c r="A19" s="72" t="str">
        <f>+Dados!A48</f>
        <v>Semi-R. 5000 kg  (Tr 45 cv)
LinhaNº164 (IHERA)</v>
      </c>
      <c r="B19" s="31">
        <f>+Dados!H2/2</f>
        <v>2.9</v>
      </c>
      <c r="C19" s="30"/>
      <c r="D19" s="30"/>
      <c r="E19" s="30"/>
      <c r="F19" s="63"/>
      <c r="G19" s="30"/>
      <c r="H19" s="30">
        <f>+H18</f>
        <v>12.5</v>
      </c>
      <c r="I19" s="30">
        <v>1</v>
      </c>
      <c r="J19" s="30">
        <f t="shared" si="5"/>
        <v>12.5</v>
      </c>
      <c r="K19" s="30">
        <f>+K18</f>
        <v>36.25</v>
      </c>
      <c r="L19" s="30">
        <f>+Dados!N48</f>
        <v>1.4310344827586208</v>
      </c>
      <c r="M19" s="30">
        <f t="shared" si="3"/>
        <v>51.875</v>
      </c>
    </row>
    <row r="20" spans="1:13" ht="4.95" customHeight="1" x14ac:dyDescent="0.25">
      <c r="A20" s="64"/>
      <c r="B20" s="61"/>
      <c r="C20" s="61"/>
      <c r="D20" s="61"/>
      <c r="E20" s="61"/>
      <c r="F20" s="62"/>
      <c r="G20" s="62"/>
      <c r="H20" s="62"/>
      <c r="I20" s="62"/>
      <c r="J20" s="62"/>
      <c r="K20" s="62"/>
      <c r="L20" s="62"/>
      <c r="M20" s="26"/>
    </row>
    <row r="21" spans="1:13" ht="25.2" customHeight="1" x14ac:dyDescent="0.25">
      <c r="A21" s="19"/>
      <c r="B21" s="205" t="s">
        <v>431</v>
      </c>
      <c r="C21" s="205"/>
      <c r="D21" s="205"/>
      <c r="E21" s="205"/>
      <c r="F21" s="205"/>
      <c r="G21" s="205"/>
      <c r="H21" s="205"/>
      <c r="I21" s="205"/>
      <c r="J21" s="205"/>
      <c r="K21" s="205"/>
      <c r="L21" s="75"/>
      <c r="M21" s="153"/>
    </row>
    <row r="22" spans="1:13" ht="25.2" customHeight="1" x14ac:dyDescent="0.25">
      <c r="A22" s="203" t="s">
        <v>432</v>
      </c>
      <c r="B22" s="78" t="s">
        <v>406</v>
      </c>
      <c r="C22" s="78" t="s">
        <v>407</v>
      </c>
      <c r="D22" s="78" t="s">
        <v>379</v>
      </c>
      <c r="E22" s="78" t="s">
        <v>380</v>
      </c>
      <c r="F22" s="78" t="s">
        <v>381</v>
      </c>
      <c r="G22" s="79" t="s">
        <v>382</v>
      </c>
      <c r="H22" s="79" t="s">
        <v>104</v>
      </c>
      <c r="I22" s="79" t="s">
        <v>408</v>
      </c>
      <c r="J22" s="80" t="s">
        <v>384</v>
      </c>
      <c r="K22" s="80" t="s">
        <v>409</v>
      </c>
      <c r="L22" s="78"/>
    </row>
    <row r="23" spans="1:13" ht="25.2" customHeight="1" x14ac:dyDescent="0.25">
      <c r="A23" s="204"/>
      <c r="B23" s="78" t="s">
        <v>48</v>
      </c>
      <c r="C23" s="78" t="s">
        <v>115</v>
      </c>
      <c r="D23" s="78" t="s">
        <v>116</v>
      </c>
      <c r="E23" s="78" t="s">
        <v>130</v>
      </c>
      <c r="F23" s="78" t="s">
        <v>130</v>
      </c>
      <c r="G23" s="79" t="s">
        <v>118</v>
      </c>
      <c r="H23" s="79" t="s">
        <v>118</v>
      </c>
      <c r="I23" s="79" t="s">
        <v>118</v>
      </c>
      <c r="J23" s="80" t="s">
        <v>118</v>
      </c>
      <c r="K23" s="80" t="s">
        <v>410</v>
      </c>
      <c r="L23" s="78"/>
    </row>
    <row r="24" spans="1:13" ht="25.2" customHeight="1" x14ac:dyDescent="0.25">
      <c r="A24" s="84" t="str">
        <f t="shared" ref="A24:A35" si="6">+A8</f>
        <v>Charrua de 2F (Tr 53 cv)
LinhaNº24 (IHERA)</v>
      </c>
      <c r="B24" s="78">
        <f>+Dados!H37</f>
        <v>2570</v>
      </c>
      <c r="C24" s="78">
        <v>0</v>
      </c>
      <c r="D24" s="78">
        <f>+IHER_Equip!H27</f>
        <v>10</v>
      </c>
      <c r="E24" s="76">
        <f>+IHER_Equip!L1</f>
        <v>3</v>
      </c>
      <c r="F24" s="76">
        <v>0</v>
      </c>
      <c r="G24" s="76">
        <f>(B24)/(M8*D24)</f>
        <v>11.42365</v>
      </c>
      <c r="H24" s="76">
        <f>((B24)/(M8))*(E24/100)</f>
        <v>3.4270950000000004</v>
      </c>
      <c r="I24" s="76">
        <f>((B24)/(M8)*(F24/100))</f>
        <v>0</v>
      </c>
      <c r="J24" s="76">
        <f>G24+H24+I24</f>
        <v>14.850745</v>
      </c>
      <c r="K24" s="76">
        <f t="shared" ref="K24:K35" si="7">+J24*H8</f>
        <v>63.276515151515135</v>
      </c>
      <c r="L24" s="76"/>
    </row>
    <row r="25" spans="1:13" ht="25.2" customHeight="1" x14ac:dyDescent="0.25">
      <c r="A25" s="84" t="str">
        <f t="shared" si="6"/>
        <v>Charrua de 1F  (Tr 45 cv)
LinhaNº19 (IHERA)</v>
      </c>
      <c r="B25" s="78">
        <f>+Dados!H38</f>
        <v>1600</v>
      </c>
      <c r="C25" s="78">
        <f>+$C$24</f>
        <v>0</v>
      </c>
      <c r="D25" s="78">
        <f>+IHER_Equip!H22</f>
        <v>10</v>
      </c>
      <c r="E25" s="76">
        <f>+$E$24</f>
        <v>3</v>
      </c>
      <c r="F25" s="76">
        <f>+$F$24</f>
        <v>0</v>
      </c>
      <c r="G25" s="76">
        <f>(B25)/(M9*D25)</f>
        <v>7.0208205128205137</v>
      </c>
      <c r="H25" s="76">
        <f>((B25)/(M9))*(E25/100)</f>
        <v>2.1062461538461541</v>
      </c>
      <c r="I25" s="76">
        <f>((B25)/(M9)*(F25/100))</f>
        <v>0</v>
      </c>
      <c r="J25" s="76">
        <f t="shared" ref="J25:J34" si="8">G25+H25+I25</f>
        <v>9.1270666666666678</v>
      </c>
      <c r="K25" s="76">
        <f t="shared" si="7"/>
        <v>66.666666666666671</v>
      </c>
      <c r="L25" s="76"/>
    </row>
    <row r="26" spans="1:13" ht="25.2" customHeight="1" x14ac:dyDescent="0.25">
      <c r="A26" s="151" t="str">
        <f t="shared" si="6"/>
        <v>Dist.Cent (calcario) (Tr 45 cv)
LinhaNº105 (IHERA)</v>
      </c>
      <c r="B26" s="78">
        <f>+Dados!H39</f>
        <v>1930</v>
      </c>
      <c r="C26" s="78">
        <f t="shared" ref="C26:C35" si="9">+$C$24</f>
        <v>0</v>
      </c>
      <c r="D26" s="78">
        <f>+IHER_Equip!H108</f>
        <v>10</v>
      </c>
      <c r="E26" s="76">
        <f t="shared" ref="E26:E35" si="10">+$E$24</f>
        <v>3</v>
      </c>
      <c r="F26" s="76">
        <f t="shared" ref="F26:F35" si="11">+$F$24</f>
        <v>0</v>
      </c>
      <c r="G26" s="76">
        <f>(B26)/((M10+M11)*D26)</f>
        <v>24.350467289719624</v>
      </c>
      <c r="H26" s="76">
        <f>((B26)/(M10+M11))*(E26/100)</f>
        <v>7.305140186915887</v>
      </c>
      <c r="I26" s="76">
        <f>((B26)/(M10+M11)*(F26/100))</f>
        <v>0</v>
      </c>
      <c r="J26" s="76">
        <f t="shared" si="8"/>
        <v>31.65560747663551</v>
      </c>
      <c r="K26" s="76">
        <f t="shared" si="7"/>
        <v>26.379672897196258</v>
      </c>
      <c r="L26" s="76"/>
    </row>
    <row r="27" spans="1:13" ht="25.2" customHeight="1" x14ac:dyDescent="0.25">
      <c r="A27" s="151" t="str">
        <f t="shared" si="6"/>
        <v>Dist.Cent (adubo) (Tr 45 cv)
LinhaNº105 (IHERA)</v>
      </c>
      <c r="B27" s="78">
        <f>+Dados!H39</f>
        <v>1930</v>
      </c>
      <c r="C27" s="78">
        <f>+$C$24</f>
        <v>0</v>
      </c>
      <c r="D27" s="78">
        <f>+IHER_Equip!H108</f>
        <v>10</v>
      </c>
      <c r="E27" s="76">
        <f>+$E$24</f>
        <v>3</v>
      </c>
      <c r="F27" s="76">
        <f>+$F$24</f>
        <v>0</v>
      </c>
      <c r="G27" s="76">
        <f>(B27)/((M10+M11)*D27)</f>
        <v>24.350467289719624</v>
      </c>
      <c r="H27" s="76">
        <f>((B27)/(M10+M11))*(E27/100)</f>
        <v>7.305140186915887</v>
      </c>
      <c r="I27" s="76">
        <f>((B27)/(M10+M11)*(F27/100))</f>
        <v>0</v>
      </c>
      <c r="J27" s="76">
        <f>G27+H27+I27</f>
        <v>31.65560747663551</v>
      </c>
      <c r="K27" s="76">
        <f t="shared" si="7"/>
        <v>17.58644859813084</v>
      </c>
      <c r="L27" s="76"/>
    </row>
    <row r="28" spans="1:13" ht="25.2" customHeight="1" x14ac:dyDescent="0.25">
      <c r="A28" s="73" t="str">
        <f t="shared" si="6"/>
        <v>Grad.discos  (Tr 53 cv)
LinhaNº45 (IHERA)</v>
      </c>
      <c r="B28" s="78">
        <f>+Dados!H41</f>
        <v>2630</v>
      </c>
      <c r="C28" s="78">
        <f t="shared" si="9"/>
        <v>0</v>
      </c>
      <c r="D28" s="78">
        <f>+IHER_Equip!H48</f>
        <v>10</v>
      </c>
      <c r="E28" s="76">
        <f t="shared" si="10"/>
        <v>3</v>
      </c>
      <c r="F28" s="76">
        <f t="shared" si="11"/>
        <v>0</v>
      </c>
      <c r="G28" s="76">
        <f t="shared" ref="G28:G35" si="12">(B28)/(M12*D28)</f>
        <v>10.52</v>
      </c>
      <c r="H28" s="76">
        <f t="shared" ref="H28:H35" si="13">((B28)/(M12))*(E28/100)</f>
        <v>3.1560000000000001</v>
      </c>
      <c r="I28" s="76">
        <f t="shared" ref="I28:I35" si="14">((B28)/(M12)*(F28/100))</f>
        <v>0</v>
      </c>
      <c r="J28" s="76">
        <f t="shared" si="8"/>
        <v>13.676</v>
      </c>
      <c r="K28" s="76">
        <f t="shared" si="7"/>
        <v>15.828703703703701</v>
      </c>
      <c r="L28" s="76"/>
    </row>
    <row r="29" spans="1:13" ht="25.2" customHeight="1" x14ac:dyDescent="0.25">
      <c r="A29" s="72" t="str">
        <f t="shared" si="6"/>
        <v>PJP 300 l  (Tr 45 cv)
LinhaNº125 (IHERA)</v>
      </c>
      <c r="B29" s="78">
        <f>+Dados!H42</f>
        <v>3180</v>
      </c>
      <c r="C29" s="78">
        <f t="shared" si="9"/>
        <v>0</v>
      </c>
      <c r="D29" s="78">
        <f>+IHER_Equip!H128</f>
        <v>10</v>
      </c>
      <c r="E29" s="76">
        <f t="shared" si="10"/>
        <v>3</v>
      </c>
      <c r="F29" s="76">
        <f t="shared" si="11"/>
        <v>0</v>
      </c>
      <c r="G29" s="76">
        <f t="shared" si="12"/>
        <v>47.1111111111111</v>
      </c>
      <c r="H29" s="76">
        <f t="shared" si="13"/>
        <v>14.133333333333331</v>
      </c>
      <c r="I29" s="76">
        <f t="shared" si="14"/>
        <v>0</v>
      </c>
      <c r="J29" s="76">
        <f t="shared" si="8"/>
        <v>61.244444444444433</v>
      </c>
      <c r="K29" s="76">
        <f t="shared" si="7"/>
        <v>38.277777777777771</v>
      </c>
      <c r="L29" s="76"/>
    </row>
    <row r="30" spans="1:13" ht="25.2" customHeight="1" x14ac:dyDescent="0.25">
      <c r="A30" s="73" t="str">
        <f t="shared" si="6"/>
        <v>Vibrocultor  (Tr 45 cv)
LinhaNº84 (IHERA)</v>
      </c>
      <c r="B30" s="78">
        <f>+Dados!H43</f>
        <v>2950</v>
      </c>
      <c r="C30" s="78">
        <f t="shared" si="9"/>
        <v>0</v>
      </c>
      <c r="D30" s="78">
        <f>+IHER_Equip!H87</f>
        <v>10</v>
      </c>
      <c r="E30" s="76">
        <f t="shared" si="10"/>
        <v>3</v>
      </c>
      <c r="F30" s="76">
        <f t="shared" si="11"/>
        <v>0</v>
      </c>
      <c r="G30" s="76">
        <f t="shared" si="12"/>
        <v>16.716666666666665</v>
      </c>
      <c r="H30" s="76">
        <f t="shared" si="13"/>
        <v>5.0149999999999997</v>
      </c>
      <c r="I30" s="76">
        <f t="shared" si="14"/>
        <v>0</v>
      </c>
      <c r="J30" s="76">
        <f t="shared" si="8"/>
        <v>21.731666666666666</v>
      </c>
      <c r="K30" s="76">
        <f t="shared" si="7"/>
        <v>17.75462962962963</v>
      </c>
      <c r="L30" s="76"/>
    </row>
    <row r="31" spans="1:13" ht="25.2" customHeight="1" x14ac:dyDescent="0.25">
      <c r="A31" s="72" t="str">
        <f t="shared" si="6"/>
        <v>Sem.Mono (Tr 53 cv)
LinhaNº117 (IHERA)</v>
      </c>
      <c r="B31" s="78">
        <f>+Dados!H44</f>
        <v>5950</v>
      </c>
      <c r="C31" s="78">
        <f t="shared" si="9"/>
        <v>0</v>
      </c>
      <c r="D31" s="78">
        <f>+IHER_Equip!H120</f>
        <v>10</v>
      </c>
      <c r="E31" s="76">
        <f t="shared" si="10"/>
        <v>3</v>
      </c>
      <c r="F31" s="76">
        <f t="shared" si="11"/>
        <v>0</v>
      </c>
      <c r="G31" s="76">
        <f t="shared" si="12"/>
        <v>118.17931034482758</v>
      </c>
      <c r="H31" s="76">
        <f t="shared" si="13"/>
        <v>35.45379310344827</v>
      </c>
      <c r="I31" s="76">
        <f t="shared" si="14"/>
        <v>0</v>
      </c>
      <c r="J31" s="76">
        <f t="shared" si="8"/>
        <v>153.63310344827585</v>
      </c>
      <c r="K31" s="76">
        <f t="shared" si="7"/>
        <v>133.36206896551724</v>
      </c>
      <c r="L31" s="76"/>
    </row>
    <row r="32" spans="1:13" ht="25.2" customHeight="1" x14ac:dyDescent="0.25">
      <c r="A32" s="72" t="str">
        <f t="shared" si="6"/>
        <v>Derreg.  (Tr 53 cv)
LinhaNº100 (IHERA)</v>
      </c>
      <c r="B32" s="78">
        <f>+Dados!H45</f>
        <v>1110</v>
      </c>
      <c r="C32" s="78">
        <f t="shared" si="9"/>
        <v>0</v>
      </c>
      <c r="D32" s="78">
        <f>+IHER_Equip!H103</f>
        <v>10</v>
      </c>
      <c r="E32" s="76">
        <f t="shared" si="10"/>
        <v>3</v>
      </c>
      <c r="F32" s="76">
        <f t="shared" si="11"/>
        <v>0</v>
      </c>
      <c r="G32" s="76">
        <f t="shared" si="12"/>
        <v>7.3999999999999986</v>
      </c>
      <c r="H32" s="76">
        <f t="shared" si="13"/>
        <v>2.2199999999999993</v>
      </c>
      <c r="I32" s="76">
        <f t="shared" si="14"/>
        <v>0</v>
      </c>
      <c r="J32" s="76">
        <f t="shared" si="8"/>
        <v>9.6199999999999974</v>
      </c>
      <c r="K32" s="76">
        <f t="shared" si="7"/>
        <v>13.361111111111107</v>
      </c>
      <c r="L32" s="76"/>
    </row>
    <row r="33" spans="1:13" ht="25.2" customHeight="1" x14ac:dyDescent="0.25">
      <c r="A33" s="72" t="str">
        <f t="shared" si="6"/>
        <v>Col.Milho (1 linha)  (Tr 53 cv)
LinhaNº148 (IHERA)</v>
      </c>
      <c r="B33" s="78">
        <f>+Dados!H46</f>
        <v>20380</v>
      </c>
      <c r="C33" s="78">
        <f t="shared" si="9"/>
        <v>0</v>
      </c>
      <c r="D33" s="78">
        <f>+IHER_Equip!H151</f>
        <v>10</v>
      </c>
      <c r="E33" s="76">
        <f t="shared" si="10"/>
        <v>3</v>
      </c>
      <c r="F33" s="76">
        <f t="shared" si="11"/>
        <v>0</v>
      </c>
      <c r="G33" s="76">
        <f t="shared" si="12"/>
        <v>28.110344827586207</v>
      </c>
      <c r="H33" s="76">
        <f t="shared" si="13"/>
        <v>8.4331034482758618</v>
      </c>
      <c r="I33" s="76">
        <f t="shared" si="14"/>
        <v>0</v>
      </c>
      <c r="J33" s="76">
        <f t="shared" si="8"/>
        <v>36.543448275862069</v>
      </c>
      <c r="K33" s="76">
        <f t="shared" si="7"/>
        <v>456.79310344827587</v>
      </c>
      <c r="L33" s="76"/>
    </row>
    <row r="34" spans="1:13" ht="25.2" customHeight="1" x14ac:dyDescent="0.25">
      <c r="A34" s="72" t="str">
        <f t="shared" si="6"/>
        <v>Semi-R. 5000 kg  (Tr 53 cv)
LinhaNº164 (IHERA)</v>
      </c>
      <c r="B34" s="78">
        <f>+Dados!H47</f>
        <v>3470</v>
      </c>
      <c r="C34" s="78">
        <f t="shared" si="9"/>
        <v>0</v>
      </c>
      <c r="D34" s="78">
        <f>+IHER_Equip!H167</f>
        <v>10</v>
      </c>
      <c r="E34" s="76">
        <f t="shared" si="10"/>
        <v>3</v>
      </c>
      <c r="F34" s="76">
        <f t="shared" si="11"/>
        <v>0</v>
      </c>
      <c r="G34" s="76">
        <f t="shared" si="12"/>
        <v>6.6891566265060245</v>
      </c>
      <c r="H34" s="76">
        <f t="shared" si="13"/>
        <v>2.0067469879518072</v>
      </c>
      <c r="I34" s="76">
        <f t="shared" si="14"/>
        <v>0</v>
      </c>
      <c r="J34" s="76">
        <f t="shared" si="8"/>
        <v>8.6959036144578317</v>
      </c>
      <c r="K34" s="76">
        <f t="shared" si="7"/>
        <v>108.6987951807229</v>
      </c>
      <c r="L34" s="76"/>
    </row>
    <row r="35" spans="1:13" ht="25.2" customHeight="1" x14ac:dyDescent="0.25">
      <c r="A35" s="72" t="str">
        <f t="shared" si="6"/>
        <v>Semi-R. 5000 kg  (Tr 45 cv)
LinhaNº164 (IHERA)</v>
      </c>
      <c r="B35" s="78">
        <f>+Dados!H48</f>
        <v>3470</v>
      </c>
      <c r="C35" s="78">
        <f t="shared" si="9"/>
        <v>0</v>
      </c>
      <c r="D35" s="78">
        <f>+IHER_Equip!H167</f>
        <v>10</v>
      </c>
      <c r="E35" s="76">
        <f t="shared" si="10"/>
        <v>3</v>
      </c>
      <c r="F35" s="76">
        <f t="shared" si="11"/>
        <v>0</v>
      </c>
      <c r="G35" s="76">
        <f t="shared" si="12"/>
        <v>6.6891566265060245</v>
      </c>
      <c r="H35" s="76">
        <f t="shared" si="13"/>
        <v>2.0067469879518072</v>
      </c>
      <c r="I35" s="76">
        <f t="shared" si="14"/>
        <v>0</v>
      </c>
      <c r="J35" s="76">
        <f>G35+H35+I35</f>
        <v>8.6959036144578317</v>
      </c>
      <c r="K35" s="76">
        <f t="shared" si="7"/>
        <v>108.6987951807229</v>
      </c>
      <c r="L35" s="76"/>
    </row>
    <row r="36" spans="1:13" ht="4.95" customHeight="1" x14ac:dyDescent="0.25">
      <c r="A36" s="64"/>
      <c r="B36" s="61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26"/>
    </row>
    <row r="37" spans="1:13" ht="25.2" customHeight="1" x14ac:dyDescent="0.25">
      <c r="A37" s="203" t="s">
        <v>432</v>
      </c>
      <c r="B37" s="20" t="s">
        <v>411</v>
      </c>
      <c r="C37" s="78" t="s">
        <v>412</v>
      </c>
      <c r="D37" s="78" t="s">
        <v>413</v>
      </c>
      <c r="E37" s="78" t="s">
        <v>414</v>
      </c>
      <c r="F37" s="79" t="s">
        <v>415</v>
      </c>
      <c r="G37" s="78" t="s">
        <v>416</v>
      </c>
      <c r="H37" s="78" t="s">
        <v>417</v>
      </c>
      <c r="I37" s="79" t="s">
        <v>418</v>
      </c>
      <c r="J37" s="23"/>
      <c r="K37" s="23"/>
      <c r="L37" s="23"/>
    </row>
    <row r="38" spans="1:13" ht="25.2" customHeight="1" x14ac:dyDescent="0.25">
      <c r="A38" s="204"/>
      <c r="B38" s="20" t="s">
        <v>115</v>
      </c>
      <c r="C38" s="78" t="s">
        <v>395</v>
      </c>
      <c r="D38" s="78" t="s">
        <v>419</v>
      </c>
      <c r="E38" s="78" t="s">
        <v>396</v>
      </c>
      <c r="F38" s="79" t="s">
        <v>118</v>
      </c>
      <c r="G38" s="78" t="s">
        <v>397</v>
      </c>
      <c r="H38" s="78" t="s">
        <v>396</v>
      </c>
      <c r="I38" s="79" t="s">
        <v>118</v>
      </c>
      <c r="J38" s="23"/>
      <c r="K38" s="23"/>
      <c r="L38" s="23"/>
    </row>
    <row r="39" spans="1:13" ht="25.2" customHeight="1" x14ac:dyDescent="0.25">
      <c r="A39" s="84" t="str">
        <f t="shared" ref="A39:A50" si="15">+A24</f>
        <v>Charrua de 2F (Tr 53 cv)
LinhaNº24 (IHERA)</v>
      </c>
      <c r="B39" s="19">
        <v>0</v>
      </c>
      <c r="C39" s="76">
        <v>0</v>
      </c>
      <c r="D39" s="76">
        <f>+B39*C39</f>
        <v>0</v>
      </c>
      <c r="E39" s="76">
        <v>0</v>
      </c>
      <c r="F39" s="76">
        <f>+D39*E39</f>
        <v>0</v>
      </c>
      <c r="G39" s="81">
        <v>0</v>
      </c>
      <c r="H39" s="76">
        <v>0</v>
      </c>
      <c r="I39" s="76">
        <f t="shared" ref="I39:I49" si="16">C24*G39*H39</f>
        <v>0</v>
      </c>
      <c r="J39" s="23"/>
      <c r="K39" s="23"/>
      <c r="L39" s="23"/>
    </row>
    <row r="40" spans="1:13" ht="25.2" customHeight="1" x14ac:dyDescent="0.25">
      <c r="A40" s="84" t="str">
        <f t="shared" si="15"/>
        <v>Charrua de 1F  (Tr 45 cv)
LinhaNº19 (IHERA)</v>
      </c>
      <c r="B40" s="19">
        <v>0</v>
      </c>
      <c r="C40" s="76">
        <f t="shared" ref="C40:C49" si="17">+$C$39</f>
        <v>0</v>
      </c>
      <c r="D40" s="76">
        <f t="shared" ref="D40:D49" si="18">+B40*C40</f>
        <v>0</v>
      </c>
      <c r="E40" s="76">
        <f t="shared" ref="E40:E49" si="19">+$E$39</f>
        <v>0</v>
      </c>
      <c r="F40" s="76">
        <f t="shared" ref="F40:F49" si="20">+D40*E40</f>
        <v>0</v>
      </c>
      <c r="G40" s="81">
        <f t="shared" ref="G40:G49" si="21">+$G$39</f>
        <v>0</v>
      </c>
      <c r="H40" s="76">
        <f t="shared" ref="H40:H49" si="22">+$H$39</f>
        <v>0</v>
      </c>
      <c r="I40" s="76">
        <f t="shared" si="16"/>
        <v>0</v>
      </c>
      <c r="J40" s="23"/>
      <c r="K40" s="23"/>
      <c r="L40" s="23"/>
    </row>
    <row r="41" spans="1:13" ht="25.2" customHeight="1" x14ac:dyDescent="0.25">
      <c r="A41" s="151" t="str">
        <f t="shared" si="15"/>
        <v>Dist.Cent (calcario) (Tr 45 cv)
LinhaNº105 (IHERA)</v>
      </c>
      <c r="B41" s="19">
        <v>0</v>
      </c>
      <c r="C41" s="76">
        <f t="shared" si="17"/>
        <v>0</v>
      </c>
      <c r="D41" s="76">
        <f t="shared" si="18"/>
        <v>0</v>
      </c>
      <c r="E41" s="76">
        <f t="shared" si="19"/>
        <v>0</v>
      </c>
      <c r="F41" s="76">
        <f t="shared" si="20"/>
        <v>0</v>
      </c>
      <c r="G41" s="81">
        <f t="shared" si="21"/>
        <v>0</v>
      </c>
      <c r="H41" s="76">
        <f t="shared" si="22"/>
        <v>0</v>
      </c>
      <c r="I41" s="76">
        <f t="shared" si="16"/>
        <v>0</v>
      </c>
      <c r="J41" s="23"/>
      <c r="K41" s="23"/>
      <c r="L41" s="23"/>
    </row>
    <row r="42" spans="1:13" ht="25.2" customHeight="1" x14ac:dyDescent="0.25">
      <c r="A42" s="151" t="str">
        <f t="shared" si="15"/>
        <v>Dist.Cent (adubo) (Tr 45 cv)
LinhaNº105 (IHERA)</v>
      </c>
      <c r="B42" s="19">
        <v>0</v>
      </c>
      <c r="C42" s="76">
        <f>+$C$39</f>
        <v>0</v>
      </c>
      <c r="D42" s="76">
        <f>+B42*C42</f>
        <v>0</v>
      </c>
      <c r="E42" s="76">
        <f>+$E$39</f>
        <v>0</v>
      </c>
      <c r="F42" s="76">
        <f t="shared" si="20"/>
        <v>0</v>
      </c>
      <c r="G42" s="81">
        <f>+$G$39</f>
        <v>0</v>
      </c>
      <c r="H42" s="76">
        <f>+$H$39</f>
        <v>0</v>
      </c>
      <c r="I42" s="76">
        <f t="shared" si="16"/>
        <v>0</v>
      </c>
      <c r="J42" s="23"/>
      <c r="K42" s="23"/>
      <c r="L42" s="23"/>
    </row>
    <row r="43" spans="1:13" ht="25.2" customHeight="1" x14ac:dyDescent="0.25">
      <c r="A43" s="73" t="str">
        <f t="shared" si="15"/>
        <v>Grad.discos  (Tr 53 cv)
LinhaNº45 (IHERA)</v>
      </c>
      <c r="B43" s="19">
        <v>0</v>
      </c>
      <c r="C43" s="76">
        <f t="shared" si="17"/>
        <v>0</v>
      </c>
      <c r="D43" s="76">
        <f t="shared" si="18"/>
        <v>0</v>
      </c>
      <c r="E43" s="76">
        <f t="shared" si="19"/>
        <v>0</v>
      </c>
      <c r="F43" s="76">
        <f t="shared" si="20"/>
        <v>0</v>
      </c>
      <c r="G43" s="81">
        <f t="shared" si="21"/>
        <v>0</v>
      </c>
      <c r="H43" s="76">
        <f t="shared" si="22"/>
        <v>0</v>
      </c>
      <c r="I43" s="76">
        <f t="shared" si="16"/>
        <v>0</v>
      </c>
      <c r="J43" s="23"/>
      <c r="K43" s="23"/>
      <c r="L43" s="23"/>
    </row>
    <row r="44" spans="1:13" ht="25.2" customHeight="1" x14ac:dyDescent="0.25">
      <c r="A44" s="72" t="str">
        <f t="shared" si="15"/>
        <v>PJP 300 l  (Tr 45 cv)
LinhaNº125 (IHERA)</v>
      </c>
      <c r="B44" s="19">
        <v>0</v>
      </c>
      <c r="C44" s="76">
        <f t="shared" si="17"/>
        <v>0</v>
      </c>
      <c r="D44" s="76">
        <f t="shared" si="18"/>
        <v>0</v>
      </c>
      <c r="E44" s="76">
        <f t="shared" si="19"/>
        <v>0</v>
      </c>
      <c r="F44" s="76">
        <f t="shared" si="20"/>
        <v>0</v>
      </c>
      <c r="G44" s="81">
        <f t="shared" si="21"/>
        <v>0</v>
      </c>
      <c r="H44" s="76">
        <f t="shared" si="22"/>
        <v>0</v>
      </c>
      <c r="I44" s="76">
        <f t="shared" si="16"/>
        <v>0</v>
      </c>
      <c r="J44" s="23"/>
      <c r="K44" s="23"/>
      <c r="L44" s="23"/>
    </row>
    <row r="45" spans="1:13" ht="25.2" customHeight="1" x14ac:dyDescent="0.25">
      <c r="A45" s="73" t="str">
        <f t="shared" si="15"/>
        <v>Vibrocultor  (Tr 45 cv)
LinhaNº84 (IHERA)</v>
      </c>
      <c r="B45" s="19">
        <v>0</v>
      </c>
      <c r="C45" s="76">
        <f t="shared" si="17"/>
        <v>0</v>
      </c>
      <c r="D45" s="76">
        <f t="shared" si="18"/>
        <v>0</v>
      </c>
      <c r="E45" s="76">
        <f t="shared" si="19"/>
        <v>0</v>
      </c>
      <c r="F45" s="76">
        <f t="shared" si="20"/>
        <v>0</v>
      </c>
      <c r="G45" s="81">
        <f t="shared" si="21"/>
        <v>0</v>
      </c>
      <c r="H45" s="76">
        <f t="shared" si="22"/>
        <v>0</v>
      </c>
      <c r="I45" s="76">
        <f t="shared" si="16"/>
        <v>0</v>
      </c>
      <c r="J45" s="23"/>
      <c r="K45" s="23"/>
      <c r="L45" s="23"/>
    </row>
    <row r="46" spans="1:13" ht="25.2" customHeight="1" x14ac:dyDescent="0.25">
      <c r="A46" s="72" t="str">
        <f t="shared" si="15"/>
        <v>Sem.Mono (Tr 53 cv)
LinhaNº117 (IHERA)</v>
      </c>
      <c r="B46" s="19">
        <v>0</v>
      </c>
      <c r="C46" s="76">
        <f t="shared" si="17"/>
        <v>0</v>
      </c>
      <c r="D46" s="76">
        <f t="shared" si="18"/>
        <v>0</v>
      </c>
      <c r="E46" s="76">
        <f t="shared" si="19"/>
        <v>0</v>
      </c>
      <c r="F46" s="76">
        <f t="shared" si="20"/>
        <v>0</v>
      </c>
      <c r="G46" s="81">
        <f t="shared" si="21"/>
        <v>0</v>
      </c>
      <c r="H46" s="76">
        <f t="shared" si="22"/>
        <v>0</v>
      </c>
      <c r="I46" s="76">
        <f t="shared" si="16"/>
        <v>0</v>
      </c>
      <c r="J46" s="23"/>
      <c r="K46" s="23"/>
      <c r="L46" s="23"/>
    </row>
    <row r="47" spans="1:13" ht="25.2" customHeight="1" x14ac:dyDescent="0.25">
      <c r="A47" s="72" t="str">
        <f t="shared" si="15"/>
        <v>Derreg.  (Tr 53 cv)
LinhaNº100 (IHERA)</v>
      </c>
      <c r="B47" s="19">
        <v>0</v>
      </c>
      <c r="C47" s="76">
        <f t="shared" si="17"/>
        <v>0</v>
      </c>
      <c r="D47" s="76">
        <f t="shared" si="18"/>
        <v>0</v>
      </c>
      <c r="E47" s="76">
        <f t="shared" si="19"/>
        <v>0</v>
      </c>
      <c r="F47" s="76">
        <f t="shared" si="20"/>
        <v>0</v>
      </c>
      <c r="G47" s="81">
        <f t="shared" si="21"/>
        <v>0</v>
      </c>
      <c r="H47" s="76">
        <f t="shared" si="22"/>
        <v>0</v>
      </c>
      <c r="I47" s="76">
        <f t="shared" si="16"/>
        <v>0</v>
      </c>
      <c r="J47" s="23"/>
      <c r="K47" s="23"/>
      <c r="L47" s="23"/>
    </row>
    <row r="48" spans="1:13" ht="25.2" customHeight="1" x14ac:dyDescent="0.25">
      <c r="A48" s="72" t="str">
        <f t="shared" si="15"/>
        <v>Col.Milho (1 linha)  (Tr 53 cv)
LinhaNº148 (IHERA)</v>
      </c>
      <c r="B48" s="19">
        <v>0</v>
      </c>
      <c r="C48" s="76">
        <f t="shared" si="17"/>
        <v>0</v>
      </c>
      <c r="D48" s="76">
        <f t="shared" si="18"/>
        <v>0</v>
      </c>
      <c r="E48" s="76">
        <f t="shared" si="19"/>
        <v>0</v>
      </c>
      <c r="F48" s="76">
        <f t="shared" si="20"/>
        <v>0</v>
      </c>
      <c r="G48" s="81">
        <f t="shared" si="21"/>
        <v>0</v>
      </c>
      <c r="H48" s="76">
        <f t="shared" si="22"/>
        <v>0</v>
      </c>
      <c r="I48" s="76">
        <f t="shared" si="16"/>
        <v>0</v>
      </c>
      <c r="J48" s="23"/>
      <c r="K48" s="23"/>
      <c r="L48" s="23"/>
    </row>
    <row r="49" spans="1:13" ht="25.2" customHeight="1" x14ac:dyDescent="0.25">
      <c r="A49" s="72" t="str">
        <f t="shared" si="15"/>
        <v>Semi-R. 5000 kg  (Tr 53 cv)
LinhaNº164 (IHERA)</v>
      </c>
      <c r="B49" s="19">
        <v>0</v>
      </c>
      <c r="C49" s="76">
        <f t="shared" si="17"/>
        <v>0</v>
      </c>
      <c r="D49" s="76">
        <f t="shared" si="18"/>
        <v>0</v>
      </c>
      <c r="E49" s="76">
        <f t="shared" si="19"/>
        <v>0</v>
      </c>
      <c r="F49" s="76">
        <f t="shared" si="20"/>
        <v>0</v>
      </c>
      <c r="G49" s="81">
        <f t="shared" si="21"/>
        <v>0</v>
      </c>
      <c r="H49" s="76">
        <f t="shared" si="22"/>
        <v>0</v>
      </c>
      <c r="I49" s="76">
        <f t="shared" si="16"/>
        <v>0</v>
      </c>
      <c r="J49" s="23"/>
      <c r="K49" s="23"/>
      <c r="L49" s="23"/>
    </row>
    <row r="50" spans="1:13" ht="25.2" customHeight="1" x14ac:dyDescent="0.25">
      <c r="A50" s="72" t="str">
        <f t="shared" si="15"/>
        <v>Semi-R. 5000 kg  (Tr 45 cv)
LinhaNº164 (IHERA)</v>
      </c>
      <c r="B50" s="76"/>
      <c r="C50" s="77"/>
      <c r="D50" s="78"/>
      <c r="E50" s="78"/>
      <c r="F50" s="78"/>
      <c r="G50" s="78"/>
      <c r="H50" s="81"/>
      <c r="I50" s="78"/>
      <c r="J50" s="78"/>
      <c r="K50" s="23"/>
      <c r="L50" s="23"/>
    </row>
    <row r="51" spans="1:13" ht="4.95" customHeight="1" x14ac:dyDescent="0.25">
      <c r="A51" s="64"/>
      <c r="B51" s="61"/>
      <c r="C51" s="61"/>
      <c r="D51" s="61"/>
      <c r="E51" s="61"/>
      <c r="F51" s="62"/>
      <c r="G51" s="62"/>
      <c r="H51" s="62"/>
      <c r="I51" s="62"/>
      <c r="J51" s="62"/>
      <c r="K51" s="62"/>
      <c r="L51" s="62"/>
      <c r="M51" s="26"/>
    </row>
    <row r="52" spans="1:13" ht="25.2" customHeight="1" x14ac:dyDescent="0.25">
      <c r="A52" s="203" t="s">
        <v>432</v>
      </c>
      <c r="B52" s="78" t="s">
        <v>420</v>
      </c>
      <c r="C52" s="78" t="s">
        <v>421</v>
      </c>
      <c r="D52" s="79" t="s">
        <v>422</v>
      </c>
      <c r="E52" s="78" t="s">
        <v>398</v>
      </c>
      <c r="F52" s="79" t="s">
        <v>398</v>
      </c>
      <c r="G52" s="78" t="s">
        <v>423</v>
      </c>
      <c r="H52" s="78" t="s">
        <v>424</v>
      </c>
      <c r="I52" s="79" t="s">
        <v>399</v>
      </c>
      <c r="J52" s="80" t="s">
        <v>401</v>
      </c>
      <c r="K52" s="80" t="s">
        <v>425</v>
      </c>
      <c r="L52" s="147" t="s">
        <v>608</v>
      </c>
      <c r="M52" s="148" t="s">
        <v>609</v>
      </c>
    </row>
    <row r="53" spans="1:13" ht="25.2" customHeight="1" x14ac:dyDescent="0.25">
      <c r="A53" s="204"/>
      <c r="B53" s="78" t="s">
        <v>48</v>
      </c>
      <c r="C53" s="78" t="s">
        <v>31</v>
      </c>
      <c r="D53" s="79" t="s">
        <v>118</v>
      </c>
      <c r="E53" s="78" t="s">
        <v>130</v>
      </c>
      <c r="F53" s="79" t="s">
        <v>118</v>
      </c>
      <c r="G53" s="78" t="s">
        <v>118</v>
      </c>
      <c r="H53" s="78" t="s">
        <v>426</v>
      </c>
      <c r="I53" s="79" t="s">
        <v>118</v>
      </c>
      <c r="J53" s="80" t="s">
        <v>118</v>
      </c>
      <c r="K53" s="80" t="s">
        <v>410</v>
      </c>
      <c r="L53" s="147" t="s">
        <v>118</v>
      </c>
      <c r="M53" s="149" t="s">
        <v>410</v>
      </c>
    </row>
    <row r="54" spans="1:13" ht="25.2" customHeight="1" x14ac:dyDescent="0.25">
      <c r="A54" s="84" t="str">
        <f t="shared" ref="A54:A65" si="23">+A39</f>
        <v>Charrua de 2F (Tr 53 cv)
LinhaNº24 (IHERA)</v>
      </c>
      <c r="B54" s="78">
        <v>0</v>
      </c>
      <c r="C54" s="78">
        <v>1E-3</v>
      </c>
      <c r="D54" s="76">
        <f>+B54/C54</f>
        <v>0</v>
      </c>
      <c r="E54" s="76">
        <f>+IHER_Equip!J27</f>
        <v>7.0000000000000007E-2</v>
      </c>
      <c r="F54" s="76">
        <f t="shared" ref="F54:F65" si="24">B24*(E54/100)</f>
        <v>1.7990000000000002</v>
      </c>
      <c r="G54" s="76">
        <f>+Dados!I51</f>
        <v>1300</v>
      </c>
      <c r="H54" s="76">
        <v>0</v>
      </c>
      <c r="I54" s="76">
        <f>+G54*H54/100</f>
        <v>0</v>
      </c>
      <c r="J54" s="76">
        <f t="shared" ref="J54:J65" si="25">F39+I39+D54+F54+I54</f>
        <v>1.7990000000000002</v>
      </c>
      <c r="K54" s="76">
        <f t="shared" ref="K54:K65" si="26">+J54*H8</f>
        <v>7.66523502743975</v>
      </c>
      <c r="L54" s="76">
        <f t="shared" ref="L54:L65" si="27">+J24+J54</f>
        <v>16.649744999999999</v>
      </c>
      <c r="M54" s="150">
        <f t="shared" ref="M54:M65" si="28">+K24+K54</f>
        <v>70.941750178954891</v>
      </c>
    </row>
    <row r="55" spans="1:13" ht="25.2" customHeight="1" x14ac:dyDescent="0.25">
      <c r="A55" s="84" t="str">
        <f t="shared" si="23"/>
        <v>Charrua de 1F  (Tr 45 cv)
LinhaNº19 (IHERA)</v>
      </c>
      <c r="B55" s="78">
        <v>0</v>
      </c>
      <c r="C55" s="78">
        <f>+$C$54</f>
        <v>1E-3</v>
      </c>
      <c r="D55" s="76">
        <f t="shared" ref="D55:D64" si="29">+B55/C55</f>
        <v>0</v>
      </c>
      <c r="E55" s="76">
        <f>+IHER_Equip!J22</f>
        <v>7.0000000000000007E-2</v>
      </c>
      <c r="F55" s="76">
        <f t="shared" si="24"/>
        <v>1.1200000000000001</v>
      </c>
      <c r="G55" s="76">
        <f>+$G$54</f>
        <v>1300</v>
      </c>
      <c r="H55" s="76">
        <v>0</v>
      </c>
      <c r="I55" s="76">
        <f t="shared" ref="I55:I65" si="30">+G55*H55/100</f>
        <v>0</v>
      </c>
      <c r="J55" s="76">
        <f t="shared" si="25"/>
        <v>1.1200000000000001</v>
      </c>
      <c r="K55" s="76">
        <f t="shared" si="26"/>
        <v>8.1807955823703846</v>
      </c>
      <c r="L55" s="76">
        <f t="shared" si="27"/>
        <v>10.247066666666669</v>
      </c>
      <c r="M55" s="150">
        <f t="shared" si="28"/>
        <v>74.847462249037051</v>
      </c>
    </row>
    <row r="56" spans="1:13" ht="25.2" customHeight="1" x14ac:dyDescent="0.25">
      <c r="A56" s="151" t="str">
        <f t="shared" si="23"/>
        <v>Dist.Cent (calcario) (Tr 45 cv)
LinhaNº105 (IHERA)</v>
      </c>
      <c r="B56" s="78">
        <v>0</v>
      </c>
      <c r="C56" s="78">
        <f t="shared" ref="C56:C65" si="31">+$C$54</f>
        <v>1E-3</v>
      </c>
      <c r="D56" s="76">
        <f t="shared" si="29"/>
        <v>0</v>
      </c>
      <c r="E56" s="76">
        <f>+IHER_Equip!J108</f>
        <v>0.05</v>
      </c>
      <c r="F56" s="76">
        <f t="shared" si="24"/>
        <v>0.96499999999999997</v>
      </c>
      <c r="G56" s="76">
        <f t="shared" ref="G56:G65" si="32">+$G$54</f>
        <v>1300</v>
      </c>
      <c r="H56" s="76">
        <v>0</v>
      </c>
      <c r="I56" s="76">
        <f t="shared" si="30"/>
        <v>0</v>
      </c>
      <c r="J56" s="76">
        <f t="shared" si="25"/>
        <v>0.96499999999999997</v>
      </c>
      <c r="K56" s="76">
        <f t="shared" si="26"/>
        <v>0.8041666666666667</v>
      </c>
      <c r="L56" s="76">
        <f t="shared" si="27"/>
        <v>32.620607476635513</v>
      </c>
      <c r="M56" s="152">
        <f t="shared" si="28"/>
        <v>27.183839563862925</v>
      </c>
    </row>
    <row r="57" spans="1:13" ht="25.2" customHeight="1" x14ac:dyDescent="0.25">
      <c r="A57" s="151" t="str">
        <f t="shared" si="23"/>
        <v>Dist.Cent (adubo) (Tr 45 cv)
LinhaNº105 (IHERA)</v>
      </c>
      <c r="B57" s="78">
        <v>0</v>
      </c>
      <c r="C57" s="78">
        <f>+$C$54</f>
        <v>1E-3</v>
      </c>
      <c r="D57" s="76">
        <f t="shared" si="29"/>
        <v>0</v>
      </c>
      <c r="E57" s="76">
        <f>+IHER_Equip!J108</f>
        <v>0.05</v>
      </c>
      <c r="F57" s="76">
        <f t="shared" si="24"/>
        <v>0.96499999999999997</v>
      </c>
      <c r="G57" s="76">
        <f>+$G$54</f>
        <v>1300</v>
      </c>
      <c r="H57" s="76">
        <v>0</v>
      </c>
      <c r="I57" s="76">
        <f t="shared" si="30"/>
        <v>0</v>
      </c>
      <c r="J57" s="76">
        <f t="shared" si="25"/>
        <v>0.96499999999999997</v>
      </c>
      <c r="K57" s="76">
        <f t="shared" si="26"/>
        <v>0.53611111111111109</v>
      </c>
      <c r="L57" s="76">
        <f t="shared" si="27"/>
        <v>32.620607476635513</v>
      </c>
      <c r="M57" s="152">
        <f t="shared" si="28"/>
        <v>18.122559709241951</v>
      </c>
    </row>
    <row r="58" spans="1:13" ht="25.2" customHeight="1" x14ac:dyDescent="0.25">
      <c r="A58" s="73" t="str">
        <f t="shared" si="23"/>
        <v>Grad.discos  (Tr 53 cv)
LinhaNº45 (IHERA)</v>
      </c>
      <c r="B58" s="78">
        <v>0</v>
      </c>
      <c r="C58" s="78">
        <f t="shared" si="31"/>
        <v>1E-3</v>
      </c>
      <c r="D58" s="76">
        <f t="shared" si="29"/>
        <v>0</v>
      </c>
      <c r="E58" s="76">
        <f>+IHER_Equip!J48</f>
        <v>0.05</v>
      </c>
      <c r="F58" s="76">
        <f t="shared" si="24"/>
        <v>1.3149999999999999</v>
      </c>
      <c r="G58" s="76">
        <f t="shared" si="32"/>
        <v>1300</v>
      </c>
      <c r="H58" s="76">
        <v>0</v>
      </c>
      <c r="I58" s="76">
        <f t="shared" si="30"/>
        <v>0</v>
      </c>
      <c r="J58" s="76">
        <f t="shared" si="25"/>
        <v>1.3149999999999999</v>
      </c>
      <c r="K58" s="76">
        <f t="shared" si="26"/>
        <v>1.5219907407407405</v>
      </c>
      <c r="L58" s="76">
        <f t="shared" si="27"/>
        <v>14.991</v>
      </c>
      <c r="M58" s="150">
        <f t="shared" si="28"/>
        <v>17.350694444444443</v>
      </c>
    </row>
    <row r="59" spans="1:13" ht="25.2" customHeight="1" x14ac:dyDescent="0.25">
      <c r="A59" s="72" t="str">
        <f t="shared" si="23"/>
        <v>PJP 300 l  (Tr 45 cv)
LinhaNº125 (IHERA)</v>
      </c>
      <c r="B59" s="78">
        <v>0</v>
      </c>
      <c r="C59" s="78">
        <f t="shared" si="31"/>
        <v>1E-3</v>
      </c>
      <c r="D59" s="76">
        <f t="shared" si="29"/>
        <v>0</v>
      </c>
      <c r="E59" s="76">
        <f>+IHER_Equip!J128</f>
        <v>0.08</v>
      </c>
      <c r="F59" s="76">
        <f t="shared" si="24"/>
        <v>2.544</v>
      </c>
      <c r="G59" s="76">
        <f t="shared" si="32"/>
        <v>1300</v>
      </c>
      <c r="H59" s="76">
        <v>0</v>
      </c>
      <c r="I59" s="76">
        <f t="shared" si="30"/>
        <v>0</v>
      </c>
      <c r="J59" s="76">
        <f t="shared" si="25"/>
        <v>2.544</v>
      </c>
      <c r="K59" s="76">
        <f t="shared" si="26"/>
        <v>1.59</v>
      </c>
      <c r="L59" s="76">
        <f t="shared" si="27"/>
        <v>63.78844444444443</v>
      </c>
      <c r="M59" s="150">
        <f t="shared" si="28"/>
        <v>39.867777777777775</v>
      </c>
    </row>
    <row r="60" spans="1:13" ht="25.2" customHeight="1" x14ac:dyDescent="0.25">
      <c r="A60" s="73" t="str">
        <f t="shared" si="23"/>
        <v>Vibrocultor  (Tr 45 cv)
LinhaNº84 (IHERA)</v>
      </c>
      <c r="B60" s="78">
        <v>0</v>
      </c>
      <c r="C60" s="78">
        <f t="shared" si="31"/>
        <v>1E-3</v>
      </c>
      <c r="D60" s="76">
        <f t="shared" si="29"/>
        <v>0</v>
      </c>
      <c r="E60" s="76">
        <f>+IHER_Equip!J87</f>
        <v>7.0000000000000007E-2</v>
      </c>
      <c r="F60" s="76">
        <f t="shared" si="24"/>
        <v>2.0650000000000004</v>
      </c>
      <c r="G60" s="76">
        <f t="shared" si="32"/>
        <v>1300</v>
      </c>
      <c r="H60" s="76">
        <v>0</v>
      </c>
      <c r="I60" s="76">
        <f t="shared" si="30"/>
        <v>0</v>
      </c>
      <c r="J60" s="76">
        <f t="shared" si="25"/>
        <v>2.0650000000000004</v>
      </c>
      <c r="K60" s="76">
        <f t="shared" si="26"/>
        <v>1.6870915032679741</v>
      </c>
      <c r="L60" s="76">
        <f t="shared" si="27"/>
        <v>23.796666666666667</v>
      </c>
      <c r="M60" s="150">
        <f t="shared" si="28"/>
        <v>19.441721132897605</v>
      </c>
    </row>
    <row r="61" spans="1:13" ht="25.2" customHeight="1" x14ac:dyDescent="0.25">
      <c r="A61" s="72" t="str">
        <f t="shared" si="23"/>
        <v>Sem.Mono (Tr 53 cv)
LinhaNº117 (IHERA)</v>
      </c>
      <c r="B61" s="78">
        <v>0</v>
      </c>
      <c r="C61" s="78">
        <f t="shared" si="31"/>
        <v>1E-3</v>
      </c>
      <c r="D61" s="76">
        <f t="shared" si="29"/>
        <v>0</v>
      </c>
      <c r="E61" s="76">
        <f>+IHER_Equip!J120</f>
        <v>0.03</v>
      </c>
      <c r="F61" s="76">
        <f t="shared" si="24"/>
        <v>1.7849999999999999</v>
      </c>
      <c r="G61" s="76">
        <f t="shared" si="32"/>
        <v>1300</v>
      </c>
      <c r="H61" s="76">
        <v>0</v>
      </c>
      <c r="I61" s="76">
        <f t="shared" si="30"/>
        <v>0</v>
      </c>
      <c r="J61" s="76">
        <f t="shared" si="25"/>
        <v>1.7849999999999999</v>
      </c>
      <c r="K61" s="76">
        <f t="shared" si="26"/>
        <v>1.5494791666666667</v>
      </c>
      <c r="L61" s="76">
        <f t="shared" si="27"/>
        <v>155.41810344827584</v>
      </c>
      <c r="M61" s="150">
        <f t="shared" si="28"/>
        <v>134.9115481321839</v>
      </c>
    </row>
    <row r="62" spans="1:13" ht="25.2" customHeight="1" x14ac:dyDescent="0.25">
      <c r="A62" s="72" t="str">
        <f t="shared" si="23"/>
        <v>Derreg.  (Tr 53 cv)
LinhaNº100 (IHERA)</v>
      </c>
      <c r="B62" s="78">
        <v>0</v>
      </c>
      <c r="C62" s="78">
        <f t="shared" si="31"/>
        <v>1E-3</v>
      </c>
      <c r="D62" s="76">
        <f t="shared" si="29"/>
        <v>0</v>
      </c>
      <c r="E62" s="76">
        <f>+IHER_Equip!J103</f>
        <v>7.0000000000000007E-2</v>
      </c>
      <c r="F62" s="76">
        <f t="shared" si="24"/>
        <v>0.77700000000000014</v>
      </c>
      <c r="G62" s="76">
        <f t="shared" si="32"/>
        <v>1300</v>
      </c>
      <c r="H62" s="76">
        <v>0</v>
      </c>
      <c r="I62" s="76">
        <f t="shared" si="30"/>
        <v>0</v>
      </c>
      <c r="J62" s="76">
        <f t="shared" si="25"/>
        <v>0.77700000000000014</v>
      </c>
      <c r="K62" s="76">
        <f t="shared" si="26"/>
        <v>1.0791666666666668</v>
      </c>
      <c r="L62" s="76">
        <f t="shared" si="27"/>
        <v>10.396999999999998</v>
      </c>
      <c r="M62" s="150">
        <f t="shared" si="28"/>
        <v>14.440277777777775</v>
      </c>
    </row>
    <row r="63" spans="1:13" ht="25.2" customHeight="1" x14ac:dyDescent="0.25">
      <c r="A63" s="72" t="str">
        <f t="shared" si="23"/>
        <v>Col.Milho (1 linha)  (Tr 53 cv)
LinhaNº148 (IHERA)</v>
      </c>
      <c r="B63" s="78">
        <v>0</v>
      </c>
      <c r="C63" s="78">
        <f t="shared" si="31"/>
        <v>1E-3</v>
      </c>
      <c r="D63" s="76">
        <f t="shared" si="29"/>
        <v>0</v>
      </c>
      <c r="E63" s="76">
        <f>+IHER_Equip!J151</f>
        <v>0.04</v>
      </c>
      <c r="F63" s="76">
        <f t="shared" si="24"/>
        <v>8.152000000000001</v>
      </c>
      <c r="G63" s="76">
        <f t="shared" si="32"/>
        <v>1300</v>
      </c>
      <c r="H63" s="76">
        <v>0</v>
      </c>
      <c r="I63" s="76">
        <f t="shared" si="30"/>
        <v>0</v>
      </c>
      <c r="J63" s="76">
        <f t="shared" si="25"/>
        <v>8.152000000000001</v>
      </c>
      <c r="K63" s="76">
        <f t="shared" si="26"/>
        <v>101.9</v>
      </c>
      <c r="L63" s="76">
        <f t="shared" si="27"/>
        <v>44.69544827586207</v>
      </c>
      <c r="M63" s="150">
        <f t="shared" si="28"/>
        <v>558.69310344827591</v>
      </c>
    </row>
    <row r="64" spans="1:13" ht="25.2" customHeight="1" x14ac:dyDescent="0.25">
      <c r="A64" s="72" t="str">
        <f t="shared" si="23"/>
        <v>Semi-R. 5000 kg  (Tr 53 cv)
LinhaNº164 (IHERA)</v>
      </c>
      <c r="B64" s="78">
        <v>0</v>
      </c>
      <c r="C64" s="78">
        <f t="shared" si="31"/>
        <v>1E-3</v>
      </c>
      <c r="D64" s="76">
        <f t="shared" si="29"/>
        <v>0</v>
      </c>
      <c r="E64" s="76">
        <f>+IHER_Equip!J167</f>
        <v>0.03</v>
      </c>
      <c r="F64" s="76">
        <f t="shared" si="24"/>
        <v>1.0409999999999999</v>
      </c>
      <c r="G64" s="76">
        <f t="shared" si="32"/>
        <v>1300</v>
      </c>
      <c r="H64" s="76">
        <v>0</v>
      </c>
      <c r="I64" s="76">
        <f t="shared" si="30"/>
        <v>0</v>
      </c>
      <c r="J64" s="76">
        <f t="shared" si="25"/>
        <v>1.0409999999999999</v>
      </c>
      <c r="K64" s="76">
        <f t="shared" si="26"/>
        <v>13.012499999999999</v>
      </c>
      <c r="L64" s="76">
        <f t="shared" si="27"/>
        <v>9.736903614457832</v>
      </c>
      <c r="M64" s="150">
        <f t="shared" si="28"/>
        <v>121.7112951807229</v>
      </c>
    </row>
    <row r="65" spans="1:13" ht="25.2" customHeight="1" x14ac:dyDescent="0.25">
      <c r="A65" s="72" t="str">
        <f t="shared" si="23"/>
        <v>Semi-R. 5000 kg  (Tr 45 cv)
LinhaNº164 (IHERA)</v>
      </c>
      <c r="B65" s="78">
        <v>0</v>
      </c>
      <c r="C65" s="78">
        <f t="shared" si="31"/>
        <v>1E-3</v>
      </c>
      <c r="D65" s="76">
        <f>+B65/C65</f>
        <v>0</v>
      </c>
      <c r="E65" s="76">
        <f>+IHER_Equip!J167</f>
        <v>0.03</v>
      </c>
      <c r="F65" s="76">
        <f t="shared" si="24"/>
        <v>1.0409999999999999</v>
      </c>
      <c r="G65" s="76">
        <f t="shared" si="32"/>
        <v>1300</v>
      </c>
      <c r="H65" s="76">
        <v>0</v>
      </c>
      <c r="I65" s="76">
        <f t="shared" si="30"/>
        <v>0</v>
      </c>
      <c r="J65" s="76">
        <f t="shared" si="25"/>
        <v>1.0409999999999999</v>
      </c>
      <c r="K65" s="76">
        <f t="shared" si="26"/>
        <v>13.012499999999999</v>
      </c>
      <c r="L65" s="76">
        <f t="shared" si="27"/>
        <v>9.736903614457832</v>
      </c>
      <c r="M65" s="150">
        <f t="shared" si="28"/>
        <v>121.7112951807229</v>
      </c>
    </row>
  </sheetData>
  <mergeCells count="8">
    <mergeCell ref="A2:A3"/>
    <mergeCell ref="B1:M1"/>
    <mergeCell ref="B21:K21"/>
    <mergeCell ref="A22:A23"/>
    <mergeCell ref="A37:A38"/>
    <mergeCell ref="A52:A53"/>
    <mergeCell ref="I2:I3"/>
    <mergeCell ref="L2:L3"/>
  </mergeCells>
  <hyperlinks>
    <hyperlink ref="D2" location="Vel_Ec!A1" display="V.T."/>
    <hyperlink ref="F2" location="Vel_Ec!A1" display="E.C.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12.6" x14ac:dyDescent="0.25"/>
  <cols>
    <col min="1" max="1" width="9.6640625" style="43" customWidth="1"/>
    <col min="2" max="2" width="6.5546875" style="43" customWidth="1"/>
    <col min="3" max="3" width="8.33203125" style="43" customWidth="1"/>
    <col min="4" max="4" width="9.44140625" style="43" customWidth="1"/>
    <col min="5" max="5" width="8.88671875" style="43" customWidth="1"/>
    <col min="6" max="6" width="9.109375" style="43" customWidth="1"/>
    <col min="7" max="7" width="8.6640625" style="43" customWidth="1"/>
    <col min="8" max="8" width="8.44140625" style="43" customWidth="1"/>
    <col min="9" max="10" width="9.6640625" style="43" customWidth="1"/>
    <col min="11" max="11" width="10.109375" style="43" customWidth="1"/>
    <col min="12" max="16384" width="8.88671875" style="43"/>
  </cols>
  <sheetData>
    <row r="1" spans="1:11" ht="15" customHeight="1" x14ac:dyDescent="0.25">
      <c r="A1" s="214" t="s">
        <v>704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7.7" customHeight="1" x14ac:dyDescent="0.25">
      <c r="A2" s="208" t="s">
        <v>403</v>
      </c>
      <c r="B2" s="210" t="s">
        <v>404</v>
      </c>
      <c r="C2" s="216" t="s">
        <v>385</v>
      </c>
      <c r="D2" s="42" t="s">
        <v>378</v>
      </c>
      <c r="E2" s="42" t="s">
        <v>379</v>
      </c>
      <c r="F2" s="42" t="s">
        <v>380</v>
      </c>
      <c r="G2" s="42" t="s">
        <v>381</v>
      </c>
      <c r="H2" s="42" t="s">
        <v>382</v>
      </c>
      <c r="I2" s="42" t="s">
        <v>104</v>
      </c>
      <c r="J2" s="42" t="s">
        <v>383</v>
      </c>
      <c r="K2" s="42" t="s">
        <v>384</v>
      </c>
    </row>
    <row r="3" spans="1:11" ht="17.7" customHeight="1" x14ac:dyDescent="0.25">
      <c r="A3" s="209"/>
      <c r="B3" s="209"/>
      <c r="C3" s="207"/>
      <c r="D3" s="42" t="s">
        <v>48</v>
      </c>
      <c r="E3" s="42" t="s">
        <v>116</v>
      </c>
      <c r="F3" s="42" t="s">
        <v>130</v>
      </c>
      <c r="G3" s="42" t="s">
        <v>130</v>
      </c>
      <c r="H3" s="42" t="s">
        <v>118</v>
      </c>
      <c r="I3" s="42" t="s">
        <v>118</v>
      </c>
      <c r="J3" s="42" t="s">
        <v>118</v>
      </c>
      <c r="K3" s="42" t="s">
        <v>118</v>
      </c>
    </row>
    <row r="4" spans="1:11" ht="17.7" customHeight="1" x14ac:dyDescent="0.25">
      <c r="A4" s="217" t="str">
        <f>+Dados!A14</f>
        <v>Trator 53 cv (39 kW)
LinhaNº4 (IHERA)</v>
      </c>
      <c r="B4" s="41">
        <f>+Dados!H20</f>
        <v>53</v>
      </c>
      <c r="C4" s="41">
        <v>300</v>
      </c>
      <c r="D4" s="41">
        <f>+Dados!H14</f>
        <v>24100</v>
      </c>
      <c r="E4" s="41">
        <f>+IHERA_Trat!G11</f>
        <v>10</v>
      </c>
      <c r="F4" s="41">
        <f>+Dados!H23</f>
        <v>3</v>
      </c>
      <c r="G4" s="41">
        <f>+Dados!H24</f>
        <v>2</v>
      </c>
      <c r="H4" s="44">
        <f>(D4*0.9)/(C4*E4)</f>
        <v>7.23</v>
      </c>
      <c r="I4" s="44">
        <f>((D4*1.1)/(2*C4))*(F4/100)</f>
        <v>1.3255000000000001</v>
      </c>
      <c r="J4" s="44">
        <f>((D4*1.1)/(2*C4)*(G4/100))</f>
        <v>0.88366666666666671</v>
      </c>
      <c r="K4" s="57">
        <f t="shared" ref="K4:K12" si="0">H4+I4+J4</f>
        <v>9.4391666666666669</v>
      </c>
    </row>
    <row r="5" spans="1:11" ht="17.7" customHeight="1" x14ac:dyDescent="0.25">
      <c r="A5" s="218"/>
      <c r="B5" s="41">
        <f>+Dados!H20</f>
        <v>53</v>
      </c>
      <c r="C5" s="41">
        <v>400</v>
      </c>
      <c r="D5" s="41">
        <f>+D4</f>
        <v>24100</v>
      </c>
      <c r="E5" s="41">
        <f>+E4</f>
        <v>10</v>
      </c>
      <c r="F5" s="41">
        <f>+$F$4</f>
        <v>3</v>
      </c>
      <c r="G5" s="41">
        <f>+$G$4</f>
        <v>2</v>
      </c>
      <c r="H5" s="44">
        <f t="shared" ref="H5:H15" si="1">(D5*0.9)/(C5*E5)</f>
        <v>5.4225000000000003</v>
      </c>
      <c r="I5" s="44">
        <f t="shared" ref="I5:I15" si="2">((D5*1.1)/(2*C5))*(F5/100)</f>
        <v>0.99412500000000004</v>
      </c>
      <c r="J5" s="44">
        <f t="shared" ref="J5:J15" si="3">((D5*1.1)/(2*C5)*(G5/100))</f>
        <v>0.66275000000000006</v>
      </c>
      <c r="K5" s="57">
        <f t="shared" si="0"/>
        <v>7.0793750000000006</v>
      </c>
    </row>
    <row r="6" spans="1:11" ht="17.7" customHeight="1" x14ac:dyDescent="0.25">
      <c r="A6" s="218"/>
      <c r="B6" s="41">
        <f>+Dados!H20</f>
        <v>53</v>
      </c>
      <c r="C6" s="41">
        <v>500</v>
      </c>
      <c r="D6" s="41">
        <f>+D4</f>
        <v>24100</v>
      </c>
      <c r="E6" s="41">
        <f>+E4</f>
        <v>10</v>
      </c>
      <c r="F6" s="41">
        <f t="shared" ref="F6:F15" si="4">+$F$4</f>
        <v>3</v>
      </c>
      <c r="G6" s="41">
        <f t="shared" ref="G6:G15" si="5">+$G$4</f>
        <v>2</v>
      </c>
      <c r="H6" s="44">
        <f t="shared" si="1"/>
        <v>4.3380000000000001</v>
      </c>
      <c r="I6" s="44">
        <f t="shared" si="2"/>
        <v>0.79530000000000012</v>
      </c>
      <c r="J6" s="44">
        <f t="shared" si="3"/>
        <v>0.53020000000000012</v>
      </c>
      <c r="K6" s="57">
        <f t="shared" si="0"/>
        <v>5.6635</v>
      </c>
    </row>
    <row r="7" spans="1:11" ht="17.7" customHeight="1" x14ac:dyDescent="0.25">
      <c r="A7" s="218"/>
      <c r="B7" s="41">
        <f>+Dados!H20</f>
        <v>53</v>
      </c>
      <c r="C7" s="41">
        <v>600</v>
      </c>
      <c r="D7" s="41">
        <f>+D4</f>
        <v>24100</v>
      </c>
      <c r="E7" s="41">
        <f>+E4</f>
        <v>10</v>
      </c>
      <c r="F7" s="41">
        <f t="shared" si="4"/>
        <v>3</v>
      </c>
      <c r="G7" s="41">
        <f t="shared" si="5"/>
        <v>2</v>
      </c>
      <c r="H7" s="44">
        <f t="shared" si="1"/>
        <v>3.6150000000000002</v>
      </c>
      <c r="I7" s="44">
        <f t="shared" si="2"/>
        <v>0.66275000000000006</v>
      </c>
      <c r="J7" s="44">
        <f t="shared" si="3"/>
        <v>0.44183333333333336</v>
      </c>
      <c r="K7" s="57">
        <f t="shared" si="0"/>
        <v>4.7195833333333335</v>
      </c>
    </row>
    <row r="8" spans="1:11" ht="17.7" customHeight="1" x14ac:dyDescent="0.25">
      <c r="A8" s="217" t="str">
        <f>+Dados!A15</f>
        <v>Trator 45 cv (33 kW)
LinhaNº3 (IHERA)</v>
      </c>
      <c r="B8" s="41">
        <f>+Dados!I20</f>
        <v>45</v>
      </c>
      <c r="C8" s="41">
        <v>300</v>
      </c>
      <c r="D8" s="41">
        <f>+Dados!H15</f>
        <v>20900</v>
      </c>
      <c r="E8" s="41">
        <f>+IHERA_Trat!G10</f>
        <v>10</v>
      </c>
      <c r="F8" s="41">
        <f t="shared" si="4"/>
        <v>3</v>
      </c>
      <c r="G8" s="41">
        <f t="shared" si="5"/>
        <v>2</v>
      </c>
      <c r="H8" s="44">
        <f t="shared" si="1"/>
        <v>6.27</v>
      </c>
      <c r="I8" s="44">
        <f t="shared" si="2"/>
        <v>1.1495</v>
      </c>
      <c r="J8" s="44">
        <f t="shared" si="3"/>
        <v>0.76633333333333342</v>
      </c>
      <c r="K8" s="57">
        <f t="shared" si="0"/>
        <v>8.1858333333333331</v>
      </c>
    </row>
    <row r="9" spans="1:11" ht="17.7" customHeight="1" x14ac:dyDescent="0.25">
      <c r="A9" s="218"/>
      <c r="B9" s="41">
        <f>+Dados!I20</f>
        <v>45</v>
      </c>
      <c r="C9" s="41">
        <v>400</v>
      </c>
      <c r="D9" s="41">
        <f>+D8</f>
        <v>20900</v>
      </c>
      <c r="E9" s="41">
        <f>+E8</f>
        <v>10</v>
      </c>
      <c r="F9" s="41">
        <f t="shared" si="4"/>
        <v>3</v>
      </c>
      <c r="G9" s="41">
        <f t="shared" si="5"/>
        <v>2</v>
      </c>
      <c r="H9" s="44">
        <f t="shared" si="1"/>
        <v>4.7024999999999997</v>
      </c>
      <c r="I9" s="44">
        <f t="shared" si="2"/>
        <v>0.86212500000000014</v>
      </c>
      <c r="J9" s="44">
        <f t="shared" si="3"/>
        <v>0.57475000000000009</v>
      </c>
      <c r="K9" s="57">
        <f t="shared" si="0"/>
        <v>6.1393749999999994</v>
      </c>
    </row>
    <row r="10" spans="1:11" ht="17.7" customHeight="1" x14ac:dyDescent="0.25">
      <c r="A10" s="218"/>
      <c r="B10" s="41">
        <f>+Dados!I20</f>
        <v>45</v>
      </c>
      <c r="C10" s="41">
        <v>500</v>
      </c>
      <c r="D10" s="41">
        <f>+D9</f>
        <v>20900</v>
      </c>
      <c r="E10" s="41">
        <f>+E8</f>
        <v>10</v>
      </c>
      <c r="F10" s="41">
        <f t="shared" si="4"/>
        <v>3</v>
      </c>
      <c r="G10" s="41">
        <f t="shared" si="5"/>
        <v>2</v>
      </c>
      <c r="H10" s="44">
        <f t="shared" si="1"/>
        <v>3.762</v>
      </c>
      <c r="I10" s="44">
        <f t="shared" si="2"/>
        <v>0.68969999999999998</v>
      </c>
      <c r="J10" s="44">
        <f t="shared" si="3"/>
        <v>0.45980000000000004</v>
      </c>
      <c r="K10" s="57">
        <f t="shared" si="0"/>
        <v>4.9115000000000002</v>
      </c>
    </row>
    <row r="11" spans="1:11" ht="17.7" customHeight="1" x14ac:dyDescent="0.25">
      <c r="A11" s="218"/>
      <c r="B11" s="41">
        <f>+Dados!I20</f>
        <v>45</v>
      </c>
      <c r="C11" s="41">
        <v>600</v>
      </c>
      <c r="D11" s="41">
        <f>+D8</f>
        <v>20900</v>
      </c>
      <c r="E11" s="41">
        <f>+E8</f>
        <v>10</v>
      </c>
      <c r="F11" s="41">
        <f t="shared" si="4"/>
        <v>3</v>
      </c>
      <c r="G11" s="41">
        <f t="shared" si="5"/>
        <v>2</v>
      </c>
      <c r="H11" s="44">
        <f t="shared" si="1"/>
        <v>3.1349999999999998</v>
      </c>
      <c r="I11" s="44">
        <f t="shared" si="2"/>
        <v>0.57474999999999998</v>
      </c>
      <c r="J11" s="44">
        <f t="shared" si="3"/>
        <v>0.38316666666666671</v>
      </c>
      <c r="K11" s="57">
        <f t="shared" si="0"/>
        <v>4.0929166666666665</v>
      </c>
    </row>
    <row r="12" spans="1:11" ht="17.7" customHeight="1" x14ac:dyDescent="0.25">
      <c r="A12" s="217" t="str">
        <f>+Dados!A16</f>
        <v>Trator 27 cv (20 kW)
LinhaNº1 (IHERA)</v>
      </c>
      <c r="B12" s="41">
        <f>+Dados!J20</f>
        <v>27</v>
      </c>
      <c r="C12" s="41">
        <v>300</v>
      </c>
      <c r="D12" s="41">
        <f>+Dados!H16</f>
        <v>13500</v>
      </c>
      <c r="E12" s="41">
        <f>+IHERA_Trat!G9</f>
        <v>10</v>
      </c>
      <c r="F12" s="41">
        <f t="shared" si="4"/>
        <v>3</v>
      </c>
      <c r="G12" s="41">
        <f t="shared" si="5"/>
        <v>2</v>
      </c>
      <c r="H12" s="44">
        <f t="shared" si="1"/>
        <v>4.05</v>
      </c>
      <c r="I12" s="44">
        <f t="shared" si="2"/>
        <v>0.74250000000000005</v>
      </c>
      <c r="J12" s="44">
        <f t="shared" si="3"/>
        <v>0.49500000000000011</v>
      </c>
      <c r="K12" s="57">
        <f t="shared" si="0"/>
        <v>5.2874999999999996</v>
      </c>
    </row>
    <row r="13" spans="1:11" ht="17.7" customHeight="1" x14ac:dyDescent="0.25">
      <c r="A13" s="218"/>
      <c r="B13" s="41">
        <f>+Dados!J20</f>
        <v>27</v>
      </c>
      <c r="C13" s="41">
        <v>400</v>
      </c>
      <c r="D13" s="41">
        <f>+D12</f>
        <v>13500</v>
      </c>
      <c r="E13" s="41">
        <f>+E12</f>
        <v>10</v>
      </c>
      <c r="F13" s="41">
        <f t="shared" si="4"/>
        <v>3</v>
      </c>
      <c r="G13" s="41">
        <f t="shared" si="5"/>
        <v>2</v>
      </c>
      <c r="H13" s="44">
        <f t="shared" si="1"/>
        <v>3.0375000000000001</v>
      </c>
      <c r="I13" s="44">
        <f t="shared" si="2"/>
        <v>0.55687500000000012</v>
      </c>
      <c r="J13" s="44">
        <f t="shared" si="3"/>
        <v>0.37125000000000008</v>
      </c>
      <c r="K13" s="57">
        <f>H13+I13+J13</f>
        <v>3.9656250000000002</v>
      </c>
    </row>
    <row r="14" spans="1:11" ht="17.7" customHeight="1" x14ac:dyDescent="0.25">
      <c r="A14" s="218"/>
      <c r="B14" s="41">
        <f>+Dados!J20</f>
        <v>27</v>
      </c>
      <c r="C14" s="41">
        <v>500</v>
      </c>
      <c r="D14" s="41">
        <f>+D13</f>
        <v>13500</v>
      </c>
      <c r="E14" s="41">
        <f>+E12</f>
        <v>10</v>
      </c>
      <c r="F14" s="41">
        <f t="shared" si="4"/>
        <v>3</v>
      </c>
      <c r="G14" s="41">
        <f t="shared" si="5"/>
        <v>2</v>
      </c>
      <c r="H14" s="44">
        <f t="shared" si="1"/>
        <v>2.4300000000000002</v>
      </c>
      <c r="I14" s="44">
        <f t="shared" si="2"/>
        <v>0.44550000000000001</v>
      </c>
      <c r="J14" s="44">
        <f t="shared" si="3"/>
        <v>0.29700000000000004</v>
      </c>
      <c r="K14" s="57">
        <f>H14+I14+J14</f>
        <v>3.1725000000000003</v>
      </c>
    </row>
    <row r="15" spans="1:11" ht="17.7" customHeight="1" x14ac:dyDescent="0.25">
      <c r="A15" s="218"/>
      <c r="B15" s="41">
        <f>+Dados!J20</f>
        <v>27</v>
      </c>
      <c r="C15" s="41">
        <v>600</v>
      </c>
      <c r="D15" s="41">
        <f>+D14</f>
        <v>13500</v>
      </c>
      <c r="E15" s="41">
        <f>+E12</f>
        <v>10</v>
      </c>
      <c r="F15" s="41">
        <f t="shared" si="4"/>
        <v>3</v>
      </c>
      <c r="G15" s="41">
        <f t="shared" si="5"/>
        <v>2</v>
      </c>
      <c r="H15" s="44">
        <f t="shared" si="1"/>
        <v>2.0249999999999999</v>
      </c>
      <c r="I15" s="44">
        <f t="shared" si="2"/>
        <v>0.37125000000000002</v>
      </c>
      <c r="J15" s="44">
        <f t="shared" si="3"/>
        <v>0.24750000000000005</v>
      </c>
      <c r="K15" s="57">
        <f>H15+I15+J15</f>
        <v>2.6437499999999998</v>
      </c>
    </row>
    <row r="16" spans="1:11" ht="17.7" customHeight="1" x14ac:dyDescent="0.25">
      <c r="C16" s="45"/>
      <c r="D16" s="41"/>
      <c r="E16" s="41"/>
      <c r="F16" s="41"/>
      <c r="G16" s="41"/>
      <c r="H16" s="41"/>
      <c r="I16" s="41"/>
      <c r="J16" s="41"/>
      <c r="K16" s="41"/>
    </row>
    <row r="17" spans="1:11" ht="17.7" customHeight="1" x14ac:dyDescent="0.25">
      <c r="B17" s="210" t="s">
        <v>404</v>
      </c>
      <c r="C17" s="42" t="s">
        <v>386</v>
      </c>
      <c r="D17" s="42" t="s">
        <v>387</v>
      </c>
      <c r="E17" s="42" t="s">
        <v>388</v>
      </c>
      <c r="F17" s="42" t="s">
        <v>389</v>
      </c>
      <c r="G17" s="42" t="s">
        <v>390</v>
      </c>
      <c r="H17" s="42" t="s">
        <v>391</v>
      </c>
      <c r="I17" s="42" t="s">
        <v>392</v>
      </c>
      <c r="J17" s="42" t="s">
        <v>393</v>
      </c>
      <c r="K17" s="42" t="s">
        <v>394</v>
      </c>
    </row>
    <row r="18" spans="1:11" ht="17.7" customHeight="1" x14ac:dyDescent="0.25">
      <c r="B18" s="209"/>
      <c r="C18" s="42" t="s">
        <v>395</v>
      </c>
      <c r="D18" s="42" t="s">
        <v>396</v>
      </c>
      <c r="E18" s="42" t="s">
        <v>118</v>
      </c>
      <c r="F18" s="42" t="s">
        <v>397</v>
      </c>
      <c r="G18" s="42" t="s">
        <v>396</v>
      </c>
      <c r="H18" s="42" t="s">
        <v>118</v>
      </c>
      <c r="I18" s="42" t="s">
        <v>48</v>
      </c>
      <c r="J18" s="42" t="s">
        <v>31</v>
      </c>
      <c r="K18" s="42" t="s">
        <v>118</v>
      </c>
    </row>
    <row r="19" spans="1:11" ht="17.7" customHeight="1" x14ac:dyDescent="0.25">
      <c r="A19" s="217" t="str">
        <f>+A4</f>
        <v>Trator 53 cv (39 kW)
LinhaNº4 (IHERA)</v>
      </c>
      <c r="B19" s="41">
        <f>+B4</f>
        <v>53</v>
      </c>
      <c r="C19" s="44">
        <f>+Dados!H25</f>
        <v>0.1</v>
      </c>
      <c r="D19" s="44">
        <f>+Dados!H26</f>
        <v>0.36</v>
      </c>
      <c r="E19" s="44">
        <f t="shared" ref="E19:E30" si="6">+C19*D19*B4</f>
        <v>1.9079999999999999</v>
      </c>
      <c r="F19" s="46">
        <f>+Dados!H27</f>
        <v>2E-3</v>
      </c>
      <c r="G19" s="44">
        <f>+Dados!H28</f>
        <v>2.74</v>
      </c>
      <c r="H19" s="44">
        <f t="shared" ref="H19:H30" si="7">+F19*G19*B4</f>
        <v>0.29044000000000003</v>
      </c>
      <c r="I19" s="41">
        <f>+Dados!H29</f>
        <v>1000</v>
      </c>
      <c r="J19" s="41">
        <f>+Dados!H30</f>
        <v>3000</v>
      </c>
      <c r="K19" s="44">
        <f>I19/J19</f>
        <v>0.33333333333333331</v>
      </c>
    </row>
    <row r="20" spans="1:11" ht="17.7" customHeight="1" x14ac:dyDescent="0.25">
      <c r="A20" s="218"/>
      <c r="B20" s="41">
        <f t="shared" ref="B20:B30" si="8">+B5</f>
        <v>53</v>
      </c>
      <c r="C20" s="44">
        <f>+$C$19</f>
        <v>0.1</v>
      </c>
      <c r="D20" s="44">
        <f>+$D$19</f>
        <v>0.36</v>
      </c>
      <c r="E20" s="44">
        <f t="shared" si="6"/>
        <v>1.9079999999999999</v>
      </c>
      <c r="F20" s="46">
        <f>+$F$19</f>
        <v>2E-3</v>
      </c>
      <c r="G20" s="44">
        <f>+$G$19</f>
        <v>2.74</v>
      </c>
      <c r="H20" s="44">
        <f t="shared" si="7"/>
        <v>0.29044000000000003</v>
      </c>
      <c r="I20" s="41">
        <f>+$I$19</f>
        <v>1000</v>
      </c>
      <c r="J20" s="41">
        <f>+J19</f>
        <v>3000</v>
      </c>
      <c r="K20" s="44">
        <f t="shared" ref="K20:K28" si="9">I20/J20</f>
        <v>0.33333333333333331</v>
      </c>
    </row>
    <row r="21" spans="1:11" ht="17.7" customHeight="1" x14ac:dyDescent="0.25">
      <c r="A21" s="218"/>
      <c r="B21" s="41">
        <f t="shared" si="8"/>
        <v>53</v>
      </c>
      <c r="C21" s="44">
        <f t="shared" ref="C21:C30" si="10">+$C$19</f>
        <v>0.1</v>
      </c>
      <c r="D21" s="44">
        <f t="shared" ref="D21:D30" si="11">+$D$19</f>
        <v>0.36</v>
      </c>
      <c r="E21" s="44">
        <f t="shared" si="6"/>
        <v>1.9079999999999999</v>
      </c>
      <c r="F21" s="46">
        <f t="shared" ref="F21:F30" si="12">+$F$19</f>
        <v>2E-3</v>
      </c>
      <c r="G21" s="44">
        <f t="shared" ref="G21:G30" si="13">+$G$19</f>
        <v>2.74</v>
      </c>
      <c r="H21" s="44">
        <f t="shared" si="7"/>
        <v>0.29044000000000003</v>
      </c>
      <c r="I21" s="41">
        <f>+$I$19</f>
        <v>1000</v>
      </c>
      <c r="J21" s="41">
        <f>+J19</f>
        <v>3000</v>
      </c>
      <c r="K21" s="44">
        <f t="shared" si="9"/>
        <v>0.33333333333333331</v>
      </c>
    </row>
    <row r="22" spans="1:11" ht="17.7" customHeight="1" x14ac:dyDescent="0.25">
      <c r="A22" s="218"/>
      <c r="B22" s="41">
        <f t="shared" si="8"/>
        <v>53</v>
      </c>
      <c r="C22" s="44">
        <f t="shared" si="10"/>
        <v>0.1</v>
      </c>
      <c r="D22" s="44">
        <f t="shared" si="11"/>
        <v>0.36</v>
      </c>
      <c r="E22" s="44">
        <f t="shared" si="6"/>
        <v>1.9079999999999999</v>
      </c>
      <c r="F22" s="46">
        <f t="shared" si="12"/>
        <v>2E-3</v>
      </c>
      <c r="G22" s="44">
        <f t="shared" si="13"/>
        <v>2.74</v>
      </c>
      <c r="H22" s="44">
        <f t="shared" si="7"/>
        <v>0.29044000000000003</v>
      </c>
      <c r="I22" s="41">
        <f>+$I$19</f>
        <v>1000</v>
      </c>
      <c r="J22" s="41">
        <f>+J19</f>
        <v>3000</v>
      </c>
      <c r="K22" s="44">
        <f t="shared" si="9"/>
        <v>0.33333333333333331</v>
      </c>
    </row>
    <row r="23" spans="1:11" ht="17.7" customHeight="1" x14ac:dyDescent="0.25">
      <c r="A23" s="217" t="str">
        <f>+A8</f>
        <v>Trator 45 cv (33 kW)
LinhaNº3 (IHERA)</v>
      </c>
      <c r="B23" s="41">
        <f t="shared" si="8"/>
        <v>45</v>
      </c>
      <c r="C23" s="44">
        <f t="shared" si="10"/>
        <v>0.1</v>
      </c>
      <c r="D23" s="44">
        <f t="shared" si="11"/>
        <v>0.36</v>
      </c>
      <c r="E23" s="44">
        <f t="shared" si="6"/>
        <v>1.6199999999999999</v>
      </c>
      <c r="F23" s="46">
        <f t="shared" si="12"/>
        <v>2E-3</v>
      </c>
      <c r="G23" s="44">
        <f t="shared" si="13"/>
        <v>2.74</v>
      </c>
      <c r="H23" s="44">
        <f t="shared" si="7"/>
        <v>0.24660000000000001</v>
      </c>
      <c r="I23" s="41">
        <f>+Dados!I29</f>
        <v>900</v>
      </c>
      <c r="J23" s="41">
        <f>+Dados!I30</f>
        <v>2500</v>
      </c>
      <c r="K23" s="44">
        <f t="shared" si="9"/>
        <v>0.36</v>
      </c>
    </row>
    <row r="24" spans="1:11" ht="17.7" customHeight="1" x14ac:dyDescent="0.25">
      <c r="A24" s="218"/>
      <c r="B24" s="41">
        <f t="shared" si="8"/>
        <v>45</v>
      </c>
      <c r="C24" s="44">
        <f t="shared" si="10"/>
        <v>0.1</v>
      </c>
      <c r="D24" s="44">
        <f t="shared" si="11"/>
        <v>0.36</v>
      </c>
      <c r="E24" s="44">
        <f t="shared" si="6"/>
        <v>1.6199999999999999</v>
      </c>
      <c r="F24" s="46">
        <f t="shared" si="12"/>
        <v>2E-3</v>
      </c>
      <c r="G24" s="44">
        <f t="shared" si="13"/>
        <v>2.74</v>
      </c>
      <c r="H24" s="44">
        <f t="shared" si="7"/>
        <v>0.24660000000000001</v>
      </c>
      <c r="I24" s="41">
        <f>+$I$23</f>
        <v>900</v>
      </c>
      <c r="J24" s="41">
        <f>+J23</f>
        <v>2500</v>
      </c>
      <c r="K24" s="44">
        <f t="shared" si="9"/>
        <v>0.36</v>
      </c>
    </row>
    <row r="25" spans="1:11" ht="17.7" customHeight="1" x14ac:dyDescent="0.25">
      <c r="A25" s="218"/>
      <c r="B25" s="41">
        <f t="shared" si="8"/>
        <v>45</v>
      </c>
      <c r="C25" s="44">
        <f t="shared" si="10"/>
        <v>0.1</v>
      </c>
      <c r="D25" s="44">
        <f t="shared" si="11"/>
        <v>0.36</v>
      </c>
      <c r="E25" s="44">
        <f t="shared" si="6"/>
        <v>1.6199999999999999</v>
      </c>
      <c r="F25" s="46">
        <f t="shared" si="12"/>
        <v>2E-3</v>
      </c>
      <c r="G25" s="44">
        <f t="shared" si="13"/>
        <v>2.74</v>
      </c>
      <c r="H25" s="44">
        <f t="shared" si="7"/>
        <v>0.24660000000000001</v>
      </c>
      <c r="I25" s="41">
        <f>+$I$23</f>
        <v>900</v>
      </c>
      <c r="J25" s="41">
        <f>+J23</f>
        <v>2500</v>
      </c>
      <c r="K25" s="44">
        <f t="shared" si="9"/>
        <v>0.36</v>
      </c>
    </row>
    <row r="26" spans="1:11" ht="17.7" customHeight="1" x14ac:dyDescent="0.25">
      <c r="A26" s="218"/>
      <c r="B26" s="41">
        <f t="shared" si="8"/>
        <v>45</v>
      </c>
      <c r="C26" s="44">
        <f t="shared" si="10"/>
        <v>0.1</v>
      </c>
      <c r="D26" s="44">
        <f t="shared" si="11"/>
        <v>0.36</v>
      </c>
      <c r="E26" s="44">
        <f t="shared" si="6"/>
        <v>1.6199999999999999</v>
      </c>
      <c r="F26" s="46">
        <f t="shared" si="12"/>
        <v>2E-3</v>
      </c>
      <c r="G26" s="44">
        <f t="shared" si="13"/>
        <v>2.74</v>
      </c>
      <c r="H26" s="44">
        <f t="shared" si="7"/>
        <v>0.24660000000000001</v>
      </c>
      <c r="I26" s="41">
        <f>+$I$23</f>
        <v>900</v>
      </c>
      <c r="J26" s="41">
        <f>+J23</f>
        <v>2500</v>
      </c>
      <c r="K26" s="44">
        <f t="shared" si="9"/>
        <v>0.36</v>
      </c>
    </row>
    <row r="27" spans="1:11" ht="17.7" customHeight="1" x14ac:dyDescent="0.25">
      <c r="A27" s="217" t="str">
        <f>+A12</f>
        <v>Trator 27 cv (20 kW)
LinhaNº1 (IHERA)</v>
      </c>
      <c r="B27" s="41">
        <f t="shared" si="8"/>
        <v>27</v>
      </c>
      <c r="C27" s="44">
        <f t="shared" si="10"/>
        <v>0.1</v>
      </c>
      <c r="D27" s="44">
        <f t="shared" si="11"/>
        <v>0.36</v>
      </c>
      <c r="E27" s="44">
        <f t="shared" si="6"/>
        <v>0.97199999999999998</v>
      </c>
      <c r="F27" s="46">
        <f t="shared" si="12"/>
        <v>2E-3</v>
      </c>
      <c r="G27" s="44">
        <f t="shared" si="13"/>
        <v>2.74</v>
      </c>
      <c r="H27" s="44">
        <f t="shared" si="7"/>
        <v>0.14796000000000001</v>
      </c>
      <c r="I27" s="41">
        <f>+Dados!J29</f>
        <v>800</v>
      </c>
      <c r="J27" s="41">
        <f>+Dados!J30</f>
        <v>2000</v>
      </c>
      <c r="K27" s="44">
        <f t="shared" si="9"/>
        <v>0.4</v>
      </c>
    </row>
    <row r="28" spans="1:11" ht="17.7" customHeight="1" x14ac:dyDescent="0.25">
      <c r="A28" s="218"/>
      <c r="B28" s="41">
        <f t="shared" si="8"/>
        <v>27</v>
      </c>
      <c r="C28" s="44">
        <f t="shared" si="10"/>
        <v>0.1</v>
      </c>
      <c r="D28" s="44">
        <f t="shared" si="11"/>
        <v>0.36</v>
      </c>
      <c r="E28" s="44">
        <f t="shared" si="6"/>
        <v>0.97199999999999998</v>
      </c>
      <c r="F28" s="46">
        <f t="shared" si="12"/>
        <v>2E-3</v>
      </c>
      <c r="G28" s="44">
        <f t="shared" si="13"/>
        <v>2.74</v>
      </c>
      <c r="H28" s="44">
        <f t="shared" si="7"/>
        <v>0.14796000000000001</v>
      </c>
      <c r="I28" s="41">
        <f>+$I$27</f>
        <v>800</v>
      </c>
      <c r="J28" s="41">
        <f>+J27</f>
        <v>2000</v>
      </c>
      <c r="K28" s="44">
        <f t="shared" si="9"/>
        <v>0.4</v>
      </c>
    </row>
    <row r="29" spans="1:11" ht="17.7" customHeight="1" x14ac:dyDescent="0.25">
      <c r="A29" s="218"/>
      <c r="B29" s="41">
        <f t="shared" si="8"/>
        <v>27</v>
      </c>
      <c r="C29" s="44">
        <f t="shared" si="10"/>
        <v>0.1</v>
      </c>
      <c r="D29" s="44">
        <f t="shared" si="11"/>
        <v>0.36</v>
      </c>
      <c r="E29" s="44">
        <f t="shared" si="6"/>
        <v>0.97199999999999998</v>
      </c>
      <c r="F29" s="46">
        <f t="shared" si="12"/>
        <v>2E-3</v>
      </c>
      <c r="G29" s="44">
        <f t="shared" si="13"/>
        <v>2.74</v>
      </c>
      <c r="H29" s="44">
        <f t="shared" si="7"/>
        <v>0.14796000000000001</v>
      </c>
      <c r="I29" s="41">
        <f>+$I$27</f>
        <v>800</v>
      </c>
      <c r="J29" s="41">
        <f>+J27</f>
        <v>2000</v>
      </c>
      <c r="K29" s="44">
        <f>I29/J29</f>
        <v>0.4</v>
      </c>
    </row>
    <row r="30" spans="1:11" ht="17.7" customHeight="1" x14ac:dyDescent="0.25">
      <c r="A30" s="218"/>
      <c r="B30" s="41">
        <f t="shared" si="8"/>
        <v>27</v>
      </c>
      <c r="C30" s="44">
        <f t="shared" si="10"/>
        <v>0.1</v>
      </c>
      <c r="D30" s="44">
        <f t="shared" si="11"/>
        <v>0.36</v>
      </c>
      <c r="E30" s="44">
        <f t="shared" si="6"/>
        <v>0.97199999999999998</v>
      </c>
      <c r="F30" s="46">
        <f t="shared" si="12"/>
        <v>2E-3</v>
      </c>
      <c r="G30" s="44">
        <f t="shared" si="13"/>
        <v>2.74</v>
      </c>
      <c r="H30" s="44">
        <f t="shared" si="7"/>
        <v>0.14796000000000001</v>
      </c>
      <c r="I30" s="41">
        <f>+$I$27</f>
        <v>800</v>
      </c>
      <c r="J30" s="41">
        <f>+J27</f>
        <v>2000</v>
      </c>
      <c r="K30" s="44">
        <f>I30/J30</f>
        <v>0.4</v>
      </c>
    </row>
    <row r="31" spans="1:11" ht="17.7" customHeight="1" x14ac:dyDescent="0.25">
      <c r="C31" s="44"/>
      <c r="D31" s="44"/>
      <c r="E31" s="44"/>
      <c r="F31" s="46"/>
      <c r="G31" s="44"/>
      <c r="H31" s="44"/>
      <c r="I31" s="41"/>
      <c r="J31" s="41"/>
      <c r="K31" s="44"/>
    </row>
    <row r="32" spans="1:11" ht="17.7" customHeight="1" x14ac:dyDescent="0.25">
      <c r="B32" s="210" t="s">
        <v>404</v>
      </c>
      <c r="C32" s="42" t="s">
        <v>398</v>
      </c>
      <c r="D32" s="42" t="s">
        <v>398</v>
      </c>
      <c r="E32" s="42" t="s">
        <v>605</v>
      </c>
      <c r="F32" s="42" t="s">
        <v>605</v>
      </c>
      <c r="G32" s="178" t="s">
        <v>400</v>
      </c>
      <c r="H32" s="42" t="s">
        <v>401</v>
      </c>
      <c r="I32" s="42"/>
      <c r="J32" s="53" t="s">
        <v>377</v>
      </c>
      <c r="K32" s="54" t="s">
        <v>402</v>
      </c>
    </row>
    <row r="33" spans="1:11" ht="17.7" customHeight="1" x14ac:dyDescent="0.25">
      <c r="B33" s="209"/>
      <c r="C33" s="42" t="s">
        <v>130</v>
      </c>
      <c r="D33" s="42" t="s">
        <v>118</v>
      </c>
      <c r="E33" s="42" t="s">
        <v>606</v>
      </c>
      <c r="F33" s="42" t="s">
        <v>118</v>
      </c>
      <c r="G33" s="42" t="s">
        <v>118</v>
      </c>
      <c r="H33" s="42" t="s">
        <v>118</v>
      </c>
      <c r="I33" s="42"/>
      <c r="J33" s="55" t="s">
        <v>385</v>
      </c>
      <c r="K33" s="54" t="s">
        <v>118</v>
      </c>
    </row>
    <row r="34" spans="1:11" ht="17.7" customHeight="1" x14ac:dyDescent="0.25">
      <c r="A34" s="217" t="str">
        <f>+A19</f>
        <v>Trator 53 cv (39 kW)
LinhaNº4 (IHERA)</v>
      </c>
      <c r="B34" s="41">
        <f>+B4</f>
        <v>53</v>
      </c>
      <c r="C34" s="44">
        <f>+Dados!B31</f>
        <v>0.01</v>
      </c>
      <c r="D34" s="44">
        <f>D6*(C34/100)</f>
        <v>2.41</v>
      </c>
      <c r="E34" s="44">
        <f>+Dados!H32/100</f>
        <v>0.1</v>
      </c>
      <c r="F34" s="44">
        <f>+D34*E34</f>
        <v>0.24100000000000002</v>
      </c>
      <c r="G34" s="48">
        <f>+Dados!L33</f>
        <v>10</v>
      </c>
      <c r="H34" s="57">
        <f t="shared" ref="H34:H45" si="14">E19+H19+K19+D34+F34+G34</f>
        <v>15.182773333333333</v>
      </c>
      <c r="I34" s="44"/>
      <c r="J34" s="54">
        <f t="shared" ref="J34:J45" si="15">+C4</f>
        <v>300</v>
      </c>
      <c r="K34" s="56">
        <f t="shared" ref="K34:K45" si="16">+K4+H34</f>
        <v>24.621940000000002</v>
      </c>
    </row>
    <row r="35" spans="1:11" ht="17.7" customHeight="1" x14ac:dyDescent="0.25">
      <c r="A35" s="218"/>
      <c r="B35" s="41">
        <f t="shared" ref="B35:B45" si="17">+B5</f>
        <v>53</v>
      </c>
      <c r="C35" s="44">
        <f>+$C$34</f>
        <v>0.01</v>
      </c>
      <c r="D35" s="44">
        <f t="shared" ref="D35:D45" si="18">D5*(C35/100)</f>
        <v>2.41</v>
      </c>
      <c r="E35" s="44">
        <f>+Dados!H32/100</f>
        <v>0.1</v>
      </c>
      <c r="F35" s="44">
        <f t="shared" ref="F35:F45" si="19">+D35*0.1</f>
        <v>0.24100000000000002</v>
      </c>
      <c r="G35" s="48">
        <f>+$G$34</f>
        <v>10</v>
      </c>
      <c r="H35" s="57">
        <f t="shared" si="14"/>
        <v>15.182773333333333</v>
      </c>
      <c r="I35" s="44"/>
      <c r="J35" s="54">
        <f t="shared" si="15"/>
        <v>400</v>
      </c>
      <c r="K35" s="56">
        <f t="shared" si="16"/>
        <v>22.262148333333336</v>
      </c>
    </row>
    <row r="36" spans="1:11" ht="17.7" customHeight="1" x14ac:dyDescent="0.25">
      <c r="A36" s="218"/>
      <c r="B36" s="41">
        <f t="shared" si="17"/>
        <v>53</v>
      </c>
      <c r="C36" s="44">
        <f t="shared" ref="C36:C45" si="20">+$C$34</f>
        <v>0.01</v>
      </c>
      <c r="D36" s="44">
        <f t="shared" si="18"/>
        <v>2.41</v>
      </c>
      <c r="E36" s="44">
        <f>+Dados!H32/100</f>
        <v>0.1</v>
      </c>
      <c r="F36" s="44">
        <f t="shared" si="19"/>
        <v>0.24100000000000002</v>
      </c>
      <c r="G36" s="48">
        <f t="shared" ref="G36:G45" si="21">+$G$34</f>
        <v>10</v>
      </c>
      <c r="H36" s="57">
        <f t="shared" si="14"/>
        <v>15.182773333333333</v>
      </c>
      <c r="I36" s="44"/>
      <c r="J36" s="54">
        <f t="shared" si="15"/>
        <v>500</v>
      </c>
      <c r="K36" s="56">
        <f t="shared" si="16"/>
        <v>20.846273333333333</v>
      </c>
    </row>
    <row r="37" spans="1:11" ht="17.7" customHeight="1" x14ac:dyDescent="0.25">
      <c r="A37" s="218"/>
      <c r="B37" s="41">
        <f t="shared" si="17"/>
        <v>53</v>
      </c>
      <c r="C37" s="44">
        <f t="shared" si="20"/>
        <v>0.01</v>
      </c>
      <c r="D37" s="44">
        <f t="shared" si="18"/>
        <v>2.41</v>
      </c>
      <c r="E37" s="44">
        <f>+Dados!H32/100</f>
        <v>0.1</v>
      </c>
      <c r="F37" s="44">
        <f t="shared" si="19"/>
        <v>0.24100000000000002</v>
      </c>
      <c r="G37" s="48">
        <f t="shared" si="21"/>
        <v>10</v>
      </c>
      <c r="H37" s="57">
        <f t="shared" si="14"/>
        <v>15.182773333333333</v>
      </c>
      <c r="I37" s="44"/>
      <c r="J37" s="54">
        <f t="shared" si="15"/>
        <v>600</v>
      </c>
      <c r="K37" s="56">
        <f t="shared" si="16"/>
        <v>19.902356666666666</v>
      </c>
    </row>
    <row r="38" spans="1:11" ht="17.7" customHeight="1" x14ac:dyDescent="0.25">
      <c r="A38" s="217" t="str">
        <f>+A23</f>
        <v>Trator 45 cv (33 kW)
LinhaNº3 (IHERA)</v>
      </c>
      <c r="B38" s="41">
        <f t="shared" si="17"/>
        <v>45</v>
      </c>
      <c r="C38" s="44">
        <f t="shared" si="20"/>
        <v>0.01</v>
      </c>
      <c r="D38" s="44">
        <f t="shared" si="18"/>
        <v>2.0900000000000003</v>
      </c>
      <c r="E38" s="44">
        <f>+Dados!I32/100</f>
        <v>0.1</v>
      </c>
      <c r="F38" s="44">
        <f t="shared" si="19"/>
        <v>0.20900000000000005</v>
      </c>
      <c r="G38" s="48">
        <f t="shared" si="21"/>
        <v>10</v>
      </c>
      <c r="H38" s="57">
        <f t="shared" si="14"/>
        <v>14.525600000000001</v>
      </c>
      <c r="I38" s="44"/>
      <c r="J38" s="54">
        <f t="shared" si="15"/>
        <v>300</v>
      </c>
      <c r="K38" s="56">
        <f t="shared" si="16"/>
        <v>22.711433333333332</v>
      </c>
    </row>
    <row r="39" spans="1:11" ht="17.7" customHeight="1" x14ac:dyDescent="0.25">
      <c r="A39" s="218"/>
      <c r="B39" s="41">
        <f t="shared" si="17"/>
        <v>45</v>
      </c>
      <c r="C39" s="44">
        <f t="shared" si="20"/>
        <v>0.01</v>
      </c>
      <c r="D39" s="44">
        <f t="shared" si="18"/>
        <v>2.0900000000000003</v>
      </c>
      <c r="E39" s="44">
        <f>+Dados!I32/100</f>
        <v>0.1</v>
      </c>
      <c r="F39" s="44">
        <f t="shared" si="19"/>
        <v>0.20900000000000005</v>
      </c>
      <c r="G39" s="48">
        <f t="shared" si="21"/>
        <v>10</v>
      </c>
      <c r="H39" s="57">
        <f t="shared" si="14"/>
        <v>14.525600000000001</v>
      </c>
      <c r="I39" s="44"/>
      <c r="J39" s="54">
        <f t="shared" si="15"/>
        <v>400</v>
      </c>
      <c r="K39" s="56">
        <f t="shared" si="16"/>
        <v>20.664974999999998</v>
      </c>
    </row>
    <row r="40" spans="1:11" ht="17.7" customHeight="1" x14ac:dyDescent="0.25">
      <c r="A40" s="218"/>
      <c r="B40" s="41">
        <f t="shared" si="17"/>
        <v>45</v>
      </c>
      <c r="C40" s="44">
        <f t="shared" si="20"/>
        <v>0.01</v>
      </c>
      <c r="D40" s="44">
        <f t="shared" si="18"/>
        <v>2.0900000000000003</v>
      </c>
      <c r="E40" s="44">
        <f>+Dados!I32/100</f>
        <v>0.1</v>
      </c>
      <c r="F40" s="44">
        <f t="shared" si="19"/>
        <v>0.20900000000000005</v>
      </c>
      <c r="G40" s="48">
        <f t="shared" si="21"/>
        <v>10</v>
      </c>
      <c r="H40" s="57">
        <f t="shared" si="14"/>
        <v>14.525600000000001</v>
      </c>
      <c r="I40" s="44"/>
      <c r="J40" s="54">
        <f t="shared" si="15"/>
        <v>500</v>
      </c>
      <c r="K40" s="56">
        <f t="shared" si="16"/>
        <v>19.437100000000001</v>
      </c>
    </row>
    <row r="41" spans="1:11" ht="17.7" customHeight="1" x14ac:dyDescent="0.25">
      <c r="A41" s="218"/>
      <c r="B41" s="41">
        <f t="shared" si="17"/>
        <v>45</v>
      </c>
      <c r="C41" s="44">
        <f t="shared" si="20"/>
        <v>0.01</v>
      </c>
      <c r="D41" s="44">
        <f t="shared" si="18"/>
        <v>2.0900000000000003</v>
      </c>
      <c r="E41" s="44">
        <f>+Dados!I32/100</f>
        <v>0.1</v>
      </c>
      <c r="F41" s="44">
        <f t="shared" si="19"/>
        <v>0.20900000000000005</v>
      </c>
      <c r="G41" s="48">
        <f t="shared" si="21"/>
        <v>10</v>
      </c>
      <c r="H41" s="57">
        <f t="shared" si="14"/>
        <v>14.525600000000001</v>
      </c>
      <c r="I41" s="44"/>
      <c r="J41" s="54">
        <f t="shared" si="15"/>
        <v>600</v>
      </c>
      <c r="K41" s="56">
        <f t="shared" si="16"/>
        <v>18.618516666666668</v>
      </c>
    </row>
    <row r="42" spans="1:11" ht="17.7" customHeight="1" x14ac:dyDescent="0.25">
      <c r="A42" s="217" t="str">
        <f>+A27</f>
        <v>Trator 27 cv (20 kW)
LinhaNº1 (IHERA)</v>
      </c>
      <c r="B42" s="41">
        <f t="shared" si="17"/>
        <v>27</v>
      </c>
      <c r="C42" s="44">
        <f t="shared" si="20"/>
        <v>0.01</v>
      </c>
      <c r="D42" s="44">
        <f t="shared" si="18"/>
        <v>1.35</v>
      </c>
      <c r="E42" s="44">
        <f>+Dados!J32/100</f>
        <v>0.1</v>
      </c>
      <c r="F42" s="44">
        <f t="shared" si="19"/>
        <v>0.13500000000000001</v>
      </c>
      <c r="G42" s="48">
        <f t="shared" si="21"/>
        <v>10</v>
      </c>
      <c r="H42" s="57">
        <f t="shared" si="14"/>
        <v>13.004960000000001</v>
      </c>
      <c r="I42" s="44"/>
      <c r="J42" s="54">
        <f t="shared" si="15"/>
        <v>300</v>
      </c>
      <c r="K42" s="56">
        <f t="shared" si="16"/>
        <v>18.292459999999998</v>
      </c>
    </row>
    <row r="43" spans="1:11" ht="17.7" customHeight="1" x14ac:dyDescent="0.25">
      <c r="A43" s="218"/>
      <c r="B43" s="41">
        <f t="shared" si="17"/>
        <v>27</v>
      </c>
      <c r="C43" s="44">
        <f t="shared" si="20"/>
        <v>0.01</v>
      </c>
      <c r="D43" s="44">
        <f t="shared" si="18"/>
        <v>1.35</v>
      </c>
      <c r="E43" s="44">
        <f>+Dados!J32/100</f>
        <v>0.1</v>
      </c>
      <c r="F43" s="44">
        <f t="shared" si="19"/>
        <v>0.13500000000000001</v>
      </c>
      <c r="G43" s="48">
        <f t="shared" si="21"/>
        <v>10</v>
      </c>
      <c r="H43" s="57">
        <f t="shared" si="14"/>
        <v>13.004960000000001</v>
      </c>
      <c r="I43" s="44"/>
      <c r="J43" s="54">
        <f t="shared" si="15"/>
        <v>400</v>
      </c>
      <c r="K43" s="56">
        <f t="shared" si="16"/>
        <v>16.970585</v>
      </c>
    </row>
    <row r="44" spans="1:11" ht="17.7" customHeight="1" x14ac:dyDescent="0.25">
      <c r="A44" s="218"/>
      <c r="B44" s="41">
        <f t="shared" si="17"/>
        <v>27</v>
      </c>
      <c r="C44" s="44">
        <f t="shared" si="20"/>
        <v>0.01</v>
      </c>
      <c r="D44" s="44">
        <f t="shared" si="18"/>
        <v>1.35</v>
      </c>
      <c r="E44" s="44">
        <f>+Dados!J32/100</f>
        <v>0.1</v>
      </c>
      <c r="F44" s="44">
        <f t="shared" si="19"/>
        <v>0.13500000000000001</v>
      </c>
      <c r="G44" s="48">
        <f t="shared" si="21"/>
        <v>10</v>
      </c>
      <c r="H44" s="57">
        <f t="shared" si="14"/>
        <v>13.004960000000001</v>
      </c>
      <c r="I44" s="44"/>
      <c r="J44" s="54">
        <f t="shared" si="15"/>
        <v>500</v>
      </c>
      <c r="K44" s="56">
        <f t="shared" si="16"/>
        <v>16.17746</v>
      </c>
    </row>
    <row r="45" spans="1:11" ht="17.7" customHeight="1" x14ac:dyDescent="0.25">
      <c r="A45" s="218"/>
      <c r="B45" s="41">
        <f t="shared" si="17"/>
        <v>27</v>
      </c>
      <c r="C45" s="44">
        <f t="shared" si="20"/>
        <v>0.01</v>
      </c>
      <c r="D45" s="44">
        <f t="shared" si="18"/>
        <v>1.35</v>
      </c>
      <c r="E45" s="44">
        <f>+Dados!J32/100</f>
        <v>0.1</v>
      </c>
      <c r="F45" s="44">
        <f t="shared" si="19"/>
        <v>0.13500000000000001</v>
      </c>
      <c r="G45" s="48">
        <f t="shared" si="21"/>
        <v>10</v>
      </c>
      <c r="H45" s="57">
        <f t="shared" si="14"/>
        <v>13.004960000000001</v>
      </c>
      <c r="I45" s="44"/>
      <c r="J45" s="54">
        <f t="shared" si="15"/>
        <v>600</v>
      </c>
      <c r="K45" s="56">
        <f t="shared" si="16"/>
        <v>15.648710000000001</v>
      </c>
    </row>
    <row r="46" spans="1:11" ht="4.95" customHeight="1" x14ac:dyDescent="0.25">
      <c r="C46" s="41"/>
      <c r="D46" s="51"/>
      <c r="E46" s="41"/>
      <c r="F46" s="41"/>
      <c r="G46" s="51"/>
      <c r="H46" s="41"/>
      <c r="I46" s="41"/>
      <c r="J46" s="51"/>
      <c r="K46" s="42"/>
    </row>
    <row r="47" spans="1:11" x14ac:dyDescent="0.25">
      <c r="A47" s="211" t="str">
        <f>+A4</f>
        <v>Trator 53 cv (39 kW)
LinhaNº4 (IHERA)</v>
      </c>
      <c r="B47" s="212"/>
      <c r="C47" s="213"/>
      <c r="D47" s="213"/>
      <c r="E47" s="41"/>
      <c r="F47" s="45"/>
      <c r="G47" s="49"/>
      <c r="H47" s="50"/>
      <c r="I47" s="50"/>
      <c r="J47" s="50"/>
      <c r="K47" s="52"/>
    </row>
    <row r="48" spans="1:11" x14ac:dyDescent="0.25">
      <c r="A48" s="42" t="s">
        <v>385</v>
      </c>
      <c r="B48" s="42" t="s">
        <v>118</v>
      </c>
      <c r="C48" s="45"/>
      <c r="D48" s="45"/>
      <c r="E48" s="41"/>
      <c r="F48" s="45"/>
      <c r="G48" s="49"/>
      <c r="H48" s="50"/>
      <c r="I48" s="50"/>
      <c r="J48" s="50"/>
      <c r="K48" s="52"/>
    </row>
    <row r="49" spans="1:11" x14ac:dyDescent="0.25">
      <c r="A49" s="41">
        <v>300</v>
      </c>
      <c r="B49" s="44">
        <v>24.621940000000002</v>
      </c>
      <c r="C49" s="45"/>
      <c r="D49" s="45"/>
      <c r="E49" s="41"/>
      <c r="F49" s="45"/>
      <c r="G49" s="49"/>
      <c r="H49" s="50"/>
      <c r="I49" s="50"/>
      <c r="J49" s="50"/>
      <c r="K49" s="52"/>
    </row>
    <row r="50" spans="1:11" x14ac:dyDescent="0.25">
      <c r="A50" s="41">
        <v>400</v>
      </c>
      <c r="B50" s="44">
        <v>22.262148333333336</v>
      </c>
      <c r="C50" s="50"/>
      <c r="D50" s="45"/>
      <c r="E50" s="41"/>
      <c r="F50" s="45"/>
      <c r="G50" s="49"/>
      <c r="H50" s="50"/>
      <c r="I50" s="50"/>
      <c r="J50" s="50"/>
      <c r="K50" s="52"/>
    </row>
    <row r="51" spans="1:11" x14ac:dyDescent="0.25">
      <c r="A51" s="41">
        <v>500</v>
      </c>
      <c r="B51" s="44">
        <v>20.846273333333333</v>
      </c>
      <c r="C51" s="50"/>
      <c r="D51" s="45"/>
      <c r="E51" s="41"/>
      <c r="F51" s="45"/>
      <c r="G51" s="49"/>
      <c r="H51" s="50"/>
      <c r="I51" s="50"/>
      <c r="J51" s="50"/>
      <c r="K51" s="52"/>
    </row>
    <row r="52" spans="1:11" x14ac:dyDescent="0.25">
      <c r="A52" s="41">
        <v>600</v>
      </c>
      <c r="B52" s="44">
        <v>19.902356666666666</v>
      </c>
      <c r="C52" s="50"/>
      <c r="D52" s="45"/>
      <c r="E52" s="41"/>
      <c r="F52" s="45"/>
      <c r="G52" s="49"/>
      <c r="H52" s="50"/>
      <c r="I52" s="50"/>
      <c r="J52" s="50"/>
      <c r="K52" s="52"/>
    </row>
    <row r="53" spans="1:11" x14ac:dyDescent="0.25">
      <c r="C53" s="50"/>
      <c r="D53" s="45"/>
      <c r="E53" s="41"/>
      <c r="F53" s="45"/>
      <c r="G53" s="49"/>
      <c r="H53" s="50"/>
      <c r="I53" s="50"/>
      <c r="J53" s="50"/>
      <c r="K53" s="52"/>
    </row>
    <row r="54" spans="1:11" x14ac:dyDescent="0.25">
      <c r="C54" s="50"/>
      <c r="D54" s="45"/>
      <c r="E54" s="41"/>
      <c r="F54" s="45"/>
      <c r="G54" s="49"/>
      <c r="H54" s="50"/>
      <c r="I54" s="50"/>
      <c r="J54" s="50"/>
      <c r="K54" s="52"/>
    </row>
    <row r="55" spans="1:11" x14ac:dyDescent="0.25">
      <c r="C55" s="50"/>
      <c r="D55" s="45"/>
      <c r="E55" s="41"/>
      <c r="F55" s="45"/>
      <c r="G55" s="49"/>
      <c r="H55" s="50"/>
      <c r="I55" s="50"/>
      <c r="J55" s="50"/>
      <c r="K55" s="52"/>
    </row>
    <row r="56" spans="1:11" x14ac:dyDescent="0.25">
      <c r="C56" s="50"/>
      <c r="D56" s="45"/>
      <c r="E56" s="41"/>
      <c r="F56" s="45"/>
      <c r="G56" s="49"/>
      <c r="H56" s="50"/>
      <c r="I56" s="50"/>
      <c r="J56" s="50"/>
      <c r="K56" s="52"/>
    </row>
    <row r="57" spans="1:11" x14ac:dyDescent="0.25">
      <c r="C57" s="47"/>
      <c r="D57" s="51"/>
      <c r="E57" s="51"/>
      <c r="F57" s="47"/>
      <c r="G57" s="47"/>
      <c r="H57" s="47"/>
      <c r="I57" s="47"/>
      <c r="J57" s="47"/>
      <c r="K57" s="47"/>
    </row>
    <row r="58" spans="1:11" x14ac:dyDescent="0.25">
      <c r="C58" s="47"/>
      <c r="D58" s="51"/>
      <c r="E58" s="51"/>
      <c r="F58" s="47"/>
      <c r="G58" s="47"/>
      <c r="H58" s="47"/>
      <c r="I58" s="47"/>
      <c r="J58" s="47"/>
      <c r="K58" s="47"/>
    </row>
    <row r="59" spans="1:11" x14ac:dyDescent="0.25">
      <c r="C59" s="47"/>
      <c r="D59" s="47"/>
      <c r="E59" s="47"/>
      <c r="F59" s="47"/>
      <c r="G59" s="47"/>
      <c r="H59" s="47"/>
      <c r="I59" s="47"/>
      <c r="J59" s="47"/>
      <c r="K59" s="47"/>
    </row>
    <row r="60" spans="1:11" x14ac:dyDescent="0.25">
      <c r="C60" s="47"/>
      <c r="D60" s="47"/>
      <c r="E60" s="47"/>
      <c r="F60" s="47"/>
      <c r="G60" s="47"/>
      <c r="H60" s="47"/>
      <c r="I60" s="47"/>
      <c r="J60" s="47"/>
      <c r="K60" s="47"/>
    </row>
    <row r="61" spans="1:11" x14ac:dyDescent="0.25">
      <c r="C61" s="47"/>
      <c r="D61" s="47"/>
      <c r="E61" s="47"/>
      <c r="F61" s="47"/>
      <c r="G61" s="47"/>
      <c r="H61" s="47"/>
      <c r="I61" s="47"/>
      <c r="J61" s="47"/>
      <c r="K61" s="47"/>
    </row>
    <row r="62" spans="1:11" x14ac:dyDescent="0.25">
      <c r="C62" s="47"/>
      <c r="D62" s="47"/>
      <c r="E62" s="47"/>
      <c r="F62" s="47"/>
      <c r="G62" s="47"/>
      <c r="H62" s="47"/>
      <c r="I62" s="47"/>
      <c r="J62" s="47"/>
      <c r="K62" s="47"/>
    </row>
    <row r="63" spans="1:11" x14ac:dyDescent="0.25">
      <c r="C63" s="47"/>
      <c r="D63" s="47"/>
      <c r="E63" s="47"/>
      <c r="F63" s="47"/>
      <c r="G63" s="47"/>
      <c r="H63" s="47"/>
      <c r="I63" s="47"/>
      <c r="J63" s="47"/>
      <c r="K63" s="47"/>
    </row>
    <row r="64" spans="1:11" x14ac:dyDescent="0.25">
      <c r="C64" s="47"/>
      <c r="D64" s="47"/>
      <c r="E64" s="47"/>
      <c r="F64" s="47"/>
      <c r="G64" s="47"/>
      <c r="H64" s="47"/>
      <c r="I64" s="47"/>
      <c r="J64" s="47"/>
      <c r="K64" s="47"/>
    </row>
    <row r="65" spans="3:11" x14ac:dyDescent="0.25">
      <c r="C65" s="47"/>
      <c r="D65" s="47"/>
      <c r="E65" s="47"/>
      <c r="F65" s="47"/>
      <c r="G65" s="47"/>
      <c r="H65" s="47"/>
      <c r="I65" s="47"/>
      <c r="J65" s="47"/>
      <c r="K65" s="47"/>
    </row>
    <row r="66" spans="3:11" x14ac:dyDescent="0.25">
      <c r="C66" s="47"/>
      <c r="D66" s="47"/>
      <c r="E66" s="47"/>
      <c r="F66" s="47"/>
      <c r="G66" s="47"/>
      <c r="H66" s="47"/>
      <c r="I66" s="47"/>
      <c r="J66" s="47"/>
      <c r="K66" s="47"/>
    </row>
    <row r="67" spans="3:11" x14ac:dyDescent="0.25">
      <c r="C67" s="47"/>
      <c r="D67" s="47"/>
      <c r="E67" s="47"/>
      <c r="F67" s="47"/>
      <c r="G67" s="47"/>
      <c r="H67" s="47"/>
      <c r="I67" s="47"/>
      <c r="J67" s="47"/>
      <c r="K67" s="47"/>
    </row>
    <row r="68" spans="3:11" x14ac:dyDescent="0.25">
      <c r="C68" s="47"/>
      <c r="D68" s="47"/>
      <c r="E68" s="47"/>
      <c r="F68" s="47"/>
      <c r="G68" s="47"/>
      <c r="H68" s="47"/>
      <c r="I68" s="47"/>
      <c r="J68" s="47"/>
      <c r="K68" s="47"/>
    </row>
    <row r="69" spans="3:11" x14ac:dyDescent="0.25">
      <c r="C69" s="47"/>
      <c r="D69" s="47"/>
      <c r="E69" s="47"/>
      <c r="F69" s="47"/>
      <c r="G69" s="47"/>
      <c r="H69" s="47"/>
      <c r="I69" s="47"/>
      <c r="J69" s="47"/>
      <c r="K69" s="47"/>
    </row>
    <row r="70" spans="3:11" x14ac:dyDescent="0.25">
      <c r="C70" s="47"/>
      <c r="D70" s="47"/>
      <c r="E70" s="47"/>
      <c r="F70" s="47"/>
      <c r="G70" s="47"/>
      <c r="H70" s="47"/>
      <c r="I70" s="47"/>
      <c r="J70" s="47"/>
      <c r="K70" s="47"/>
    </row>
    <row r="71" spans="3:11" x14ac:dyDescent="0.25">
      <c r="C71" s="47"/>
      <c r="D71" s="47"/>
      <c r="E71" s="47"/>
      <c r="F71" s="47"/>
      <c r="G71" s="47"/>
      <c r="H71" s="47"/>
      <c r="I71" s="47"/>
      <c r="J71" s="47"/>
      <c r="K71" s="47"/>
    </row>
    <row r="72" spans="3:11" x14ac:dyDescent="0.25">
      <c r="C72" s="47"/>
      <c r="D72" s="47"/>
      <c r="E72" s="47"/>
      <c r="F72" s="47"/>
      <c r="G72" s="47"/>
      <c r="H72" s="47"/>
      <c r="I72" s="47"/>
      <c r="J72" s="47"/>
      <c r="K72" s="47"/>
    </row>
    <row r="73" spans="3:11" x14ac:dyDescent="0.25">
      <c r="C73" s="47"/>
      <c r="D73" s="47"/>
      <c r="E73" s="47"/>
      <c r="F73" s="47"/>
      <c r="G73" s="47"/>
      <c r="H73" s="47"/>
      <c r="I73" s="47"/>
      <c r="J73" s="47"/>
      <c r="K73" s="47"/>
    </row>
    <row r="74" spans="3:11" x14ac:dyDescent="0.25">
      <c r="C74" s="47"/>
      <c r="D74" s="47"/>
      <c r="E74" s="47"/>
      <c r="F74" s="47"/>
      <c r="G74" s="47"/>
      <c r="H74" s="47"/>
      <c r="I74" s="47"/>
      <c r="J74" s="47"/>
      <c r="K74" s="47"/>
    </row>
    <row r="75" spans="3:11" x14ac:dyDescent="0.25">
      <c r="C75" s="47"/>
      <c r="D75" s="47"/>
      <c r="E75" s="47"/>
      <c r="F75" s="47"/>
      <c r="G75" s="47"/>
      <c r="H75" s="47"/>
      <c r="I75" s="47"/>
      <c r="J75" s="47"/>
      <c r="K75" s="47"/>
    </row>
  </sheetData>
  <mergeCells count="16">
    <mergeCell ref="A19:A22"/>
    <mergeCell ref="A23:A26"/>
    <mergeCell ref="A27:A30"/>
    <mergeCell ref="A34:A37"/>
    <mergeCell ref="A38:A41"/>
    <mergeCell ref="A42:A45"/>
    <mergeCell ref="A2:A3"/>
    <mergeCell ref="B2:B3"/>
    <mergeCell ref="B17:B18"/>
    <mergeCell ref="B32:B33"/>
    <mergeCell ref="A47:D47"/>
    <mergeCell ref="A1:K1"/>
    <mergeCell ref="C2:C3"/>
    <mergeCell ref="A4:A7"/>
    <mergeCell ref="A8:A11"/>
    <mergeCell ref="A12:A15"/>
  </mergeCells>
  <printOptions horizontalCentered="1" gridLines="1"/>
  <pageMargins left="7.874015748031496E-2" right="7.874015748031496E-2" top="0.19685039370078741" bottom="3.937007874015748E-2" header="0.31496062992125984" footer="0.31496062992125984"/>
  <pageSetup paperSize="9" orientation="portrait" r:id="rId1"/>
  <rowBreaks count="1" manualBreakCount="1">
    <brk id="4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3" topLeftCell="A4" activePane="bottomLeft" state="frozen"/>
      <selection pane="bottomLeft" activeCell="J3" sqref="J3"/>
    </sheetView>
  </sheetViews>
  <sheetFormatPr defaultRowHeight="12.6" x14ac:dyDescent="0.25"/>
  <cols>
    <col min="1" max="1" width="23.6640625" customWidth="1"/>
    <col min="2" max="2" width="16.6640625" customWidth="1"/>
    <col min="3" max="3" width="11" customWidth="1"/>
    <col min="4" max="4" width="14.109375" customWidth="1"/>
    <col min="5" max="6" width="11.33203125" customWidth="1"/>
    <col min="7" max="12" width="8.6640625" customWidth="1"/>
  </cols>
  <sheetData>
    <row r="1" spans="1:12" ht="30" customHeight="1" x14ac:dyDescent="0.25">
      <c r="A1" s="205" t="s">
        <v>623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30" customHeight="1" x14ac:dyDescent="0.25">
      <c r="A2" s="203" t="s">
        <v>432</v>
      </c>
      <c r="B2" s="203" t="s">
        <v>403</v>
      </c>
      <c r="C2" s="82" t="s">
        <v>631</v>
      </c>
      <c r="D2" s="159" t="s">
        <v>633</v>
      </c>
      <c r="E2" s="159" t="s">
        <v>633</v>
      </c>
      <c r="F2" s="159" t="s">
        <v>632</v>
      </c>
      <c r="G2" s="82" t="s">
        <v>427</v>
      </c>
      <c r="H2" s="82" t="s">
        <v>624</v>
      </c>
      <c r="I2" s="83" t="s">
        <v>428</v>
      </c>
      <c r="J2" s="83" t="s">
        <v>705</v>
      </c>
      <c r="K2" s="82" t="s">
        <v>429</v>
      </c>
      <c r="L2" s="82" t="s">
        <v>625</v>
      </c>
    </row>
    <row r="3" spans="1:12" ht="30" customHeight="1" x14ac:dyDescent="0.25">
      <c r="A3" s="204"/>
      <c r="B3" s="204"/>
      <c r="C3" s="82" t="s">
        <v>372</v>
      </c>
      <c r="D3" s="82" t="s">
        <v>600</v>
      </c>
      <c r="E3" s="82" t="s">
        <v>31</v>
      </c>
      <c r="F3" s="82" t="s">
        <v>385</v>
      </c>
      <c r="G3" s="82" t="s">
        <v>118</v>
      </c>
      <c r="H3" s="82" t="s">
        <v>630</v>
      </c>
      <c r="I3" s="82" t="s">
        <v>118</v>
      </c>
      <c r="J3" s="82" t="s">
        <v>630</v>
      </c>
      <c r="K3" s="82" t="s">
        <v>118</v>
      </c>
      <c r="L3" s="82" t="s">
        <v>630</v>
      </c>
    </row>
    <row r="4" spans="1:12" ht="30" customHeight="1" x14ac:dyDescent="0.25">
      <c r="A4" s="84" t="str">
        <f>+Dados!A37</f>
        <v>Charrua de 2F (Tr 53 cv)
LinhaNº24 (IHERA)</v>
      </c>
      <c r="B4" s="85" t="str">
        <f>+Dados!A14</f>
        <v>Trator 53 cv (39 kW)
LinhaNº4 (IHERA)</v>
      </c>
      <c r="C4" s="76">
        <f>+Dados!H2*0.6</f>
        <v>3.48</v>
      </c>
      <c r="D4" s="76">
        <f>+Dados!L37</f>
        <v>4.2608310324845746</v>
      </c>
      <c r="E4" s="76">
        <f>+C4*D4</f>
        <v>14.82769199304632</v>
      </c>
      <c r="F4" s="76">
        <f>+Dados!O37</f>
        <v>22.497187851518557</v>
      </c>
      <c r="G4" s="76">
        <f>+Dados!K37</f>
        <v>16.649744999999999</v>
      </c>
      <c r="H4" s="21">
        <f>+F4*G4</f>
        <v>374.57244094488181</v>
      </c>
      <c r="I4" s="21">
        <f>+Dados!K14</f>
        <v>20.846273333333333</v>
      </c>
      <c r="J4" s="21">
        <f>+E4*I4</f>
        <v>309.10212018952166</v>
      </c>
      <c r="K4" s="21">
        <f t="shared" ref="K4:L15" si="0">+I4+G4</f>
        <v>37.496018333333332</v>
      </c>
      <c r="L4" s="21">
        <f t="shared" si="0"/>
        <v>683.67456113440346</v>
      </c>
    </row>
    <row r="5" spans="1:12" ht="30" customHeight="1" x14ac:dyDescent="0.25">
      <c r="A5" s="84" t="str">
        <f>+Dados!A38</f>
        <v>Charrua de 1F  (Tr 45 cv)
LinhaNº19 (IHERA)</v>
      </c>
      <c r="B5" s="85" t="str">
        <f>+Dados!A15</f>
        <v>Trator 45 cv (33 kW)
LinhaNº3 (IHERA)</v>
      </c>
      <c r="C5" s="76">
        <f>+Dados!H2*0.4</f>
        <v>2.3199999999999998</v>
      </c>
      <c r="D5" s="76">
        <f>+Dados!L38</f>
        <v>7.3042817699735574</v>
      </c>
      <c r="E5" s="76">
        <f t="shared" ref="E5:E15" si="1">+C5*D5</f>
        <v>16.945933706338653</v>
      </c>
      <c r="F5" s="76">
        <f>+Dados!O38</f>
        <v>22.789359122317499</v>
      </c>
      <c r="G5" s="76">
        <f>+Dados!K38</f>
        <v>10.247066666666669</v>
      </c>
      <c r="H5" s="21">
        <f t="shared" ref="H5:H15" si="2">+F5*G5</f>
        <v>233.52408221699562</v>
      </c>
      <c r="I5" s="21">
        <f>+Dados!K15</f>
        <v>19.437100000000001</v>
      </c>
      <c r="J5" s="21">
        <f t="shared" ref="J5:J16" si="3">+E5*I5</f>
        <v>329.37980804347507</v>
      </c>
      <c r="K5" s="21">
        <f t="shared" si="0"/>
        <v>29.68416666666667</v>
      </c>
      <c r="L5" s="21">
        <f t="shared" si="0"/>
        <v>562.90389026047069</v>
      </c>
    </row>
    <row r="6" spans="1:12" ht="30" customHeight="1" x14ac:dyDescent="0.25">
      <c r="A6" s="151" t="str">
        <f>+Dados!A39</f>
        <v>Dist.Cent (calcario) (Tr 45 cv)
LinhaNº105 (IHERA)</v>
      </c>
      <c r="B6" s="85" t="str">
        <f>+Dados!A15</f>
        <v>Trator 45 cv (33 kW)
LinhaNº3 (IHERA)</v>
      </c>
      <c r="C6" s="76">
        <f>+Dados!H2</f>
        <v>5.8</v>
      </c>
      <c r="D6" s="76">
        <f>+Dados!L39</f>
        <v>0.27777777777777779</v>
      </c>
      <c r="E6" s="76">
        <f t="shared" si="1"/>
        <v>1.6111111111111112</v>
      </c>
      <c r="F6" s="76">
        <f>+Dados!O39</f>
        <v>1.925925925925926</v>
      </c>
      <c r="G6" s="76">
        <f>+Dados!K39</f>
        <v>32.620607476635513</v>
      </c>
      <c r="H6" s="21">
        <f t="shared" si="2"/>
        <v>62.824873658705435</v>
      </c>
      <c r="I6" s="21">
        <f>+Dados!K15</f>
        <v>19.437100000000001</v>
      </c>
      <c r="J6" s="21">
        <f t="shared" si="3"/>
        <v>31.315327777777782</v>
      </c>
      <c r="K6" s="21">
        <f t="shared" si="0"/>
        <v>52.057707476635514</v>
      </c>
      <c r="L6" s="21">
        <f t="shared" si="0"/>
        <v>94.14020143648321</v>
      </c>
    </row>
    <row r="7" spans="1:12" ht="30" customHeight="1" x14ac:dyDescent="0.25">
      <c r="A7" s="151" t="str">
        <f>+Dados!A40</f>
        <v>Dist.Cent (adubo) (Tr 45 cv)
LinhaNº105 (IHERA)</v>
      </c>
      <c r="B7" s="85" t="str">
        <f>+Dados!A15</f>
        <v>Trator 45 cv (33 kW)
LinhaNº3 (IHERA)</v>
      </c>
      <c r="C7" s="76">
        <f>+Dados!H2</f>
        <v>5.8</v>
      </c>
      <c r="D7" s="76">
        <f>+Dados!L40</f>
        <v>0.55555555555555558</v>
      </c>
      <c r="E7" s="76">
        <f t="shared" si="1"/>
        <v>3.2222222222222223</v>
      </c>
      <c r="F7" s="76">
        <f>+Dados!O40</f>
        <v>6.0000000000000009</v>
      </c>
      <c r="G7" s="76">
        <f>+Dados!K40</f>
        <v>32.620607476635513</v>
      </c>
      <c r="H7" s="21">
        <f t="shared" si="2"/>
        <v>195.72364485981311</v>
      </c>
      <c r="I7" s="21">
        <f>+Dados!K15</f>
        <v>19.437100000000001</v>
      </c>
      <c r="J7" s="21">
        <f t="shared" si="3"/>
        <v>62.630655555555563</v>
      </c>
      <c r="K7" s="21">
        <f>+I7+G7</f>
        <v>52.057707476635514</v>
      </c>
      <c r="L7" s="21">
        <f>+J7+H7</f>
        <v>258.3543004153687</v>
      </c>
    </row>
    <row r="8" spans="1:12" ht="30" customHeight="1" x14ac:dyDescent="0.25">
      <c r="A8" s="73" t="str">
        <f>+Dados!A41</f>
        <v>Grad.discos  (Tr 53 cv)
LinhaNº45 (IHERA)</v>
      </c>
      <c r="B8" s="85" t="str">
        <f>+Dados!A14</f>
        <v>Trator 53 cv (39 kW)
LinhaNº4 (IHERA)</v>
      </c>
      <c r="C8" s="76">
        <f>+Dados!H2</f>
        <v>5.8</v>
      </c>
      <c r="D8" s="76">
        <f>+Dados!L41</f>
        <v>2.3148148148148144</v>
      </c>
      <c r="E8" s="76">
        <f t="shared" si="1"/>
        <v>13.425925925925924</v>
      </c>
      <c r="F8" s="76">
        <f>+Dados!O41</f>
        <v>25</v>
      </c>
      <c r="G8" s="76">
        <f>+Dados!K41</f>
        <v>14.991</v>
      </c>
      <c r="H8" s="21">
        <f t="shared" si="2"/>
        <v>374.77499999999998</v>
      </c>
      <c r="I8" s="21">
        <f>+Dados!K14</f>
        <v>20.846273333333333</v>
      </c>
      <c r="J8" s="21">
        <f t="shared" si="3"/>
        <v>279.88052160493822</v>
      </c>
      <c r="K8" s="21">
        <f t="shared" si="0"/>
        <v>35.837273333333329</v>
      </c>
      <c r="L8" s="21">
        <f t="shared" si="0"/>
        <v>654.65552160493826</v>
      </c>
    </row>
    <row r="9" spans="1:12" ht="30" customHeight="1" x14ac:dyDescent="0.25">
      <c r="A9" s="72" t="str">
        <f>+Dados!A42</f>
        <v>PJP 300 l  (Tr 45 cv)
LinhaNº125 (IHERA)</v>
      </c>
      <c r="B9" s="85" t="str">
        <f>+Dados!A15</f>
        <v>Trator 45 cv (33 kW)
LinhaNº3 (IHERA)</v>
      </c>
      <c r="C9" s="76">
        <f>+Dados!H2</f>
        <v>5.8</v>
      </c>
      <c r="D9" s="76">
        <f>+Dados!L42</f>
        <v>0.625</v>
      </c>
      <c r="E9" s="76">
        <f t="shared" si="1"/>
        <v>3.625</v>
      </c>
      <c r="F9" s="76">
        <f>+Dados!O42</f>
        <v>6.7500000000000009</v>
      </c>
      <c r="G9" s="76">
        <f>+Dados!K42</f>
        <v>63.78844444444443</v>
      </c>
      <c r="H9" s="21">
        <f t="shared" si="2"/>
        <v>430.57199999999995</v>
      </c>
      <c r="I9" s="21">
        <f>+Dados!K15</f>
        <v>19.437100000000001</v>
      </c>
      <c r="J9" s="21">
        <f t="shared" si="3"/>
        <v>70.459487500000009</v>
      </c>
      <c r="K9" s="21">
        <f t="shared" si="0"/>
        <v>83.225544444444438</v>
      </c>
      <c r="L9" s="21">
        <f t="shared" si="0"/>
        <v>501.03148749999997</v>
      </c>
    </row>
    <row r="10" spans="1:12" ht="30" customHeight="1" x14ac:dyDescent="0.25">
      <c r="A10" s="73" t="str">
        <f>+Dados!A43</f>
        <v>Vibrocultor  (Tr 45 cv)
LinhaNº84 (IHERA)</v>
      </c>
      <c r="B10" s="85" t="str">
        <f>+Dados!A15</f>
        <v>Trator 45 cv (33 kW)
LinhaNº3 (IHERA)</v>
      </c>
      <c r="C10" s="76">
        <f>+Dados!H2</f>
        <v>5.8</v>
      </c>
      <c r="D10" s="76">
        <f>+Dados!L43</f>
        <v>1.6339869281045751</v>
      </c>
      <c r="E10" s="76">
        <f t="shared" si="1"/>
        <v>9.477124183006536</v>
      </c>
      <c r="F10" s="76">
        <f>+Dados!O43</f>
        <v>17.647058823529413</v>
      </c>
      <c r="G10" s="76">
        <f>+Dados!K43</f>
        <v>23.796666666666667</v>
      </c>
      <c r="H10" s="21">
        <f t="shared" si="2"/>
        <v>419.94117647058829</v>
      </c>
      <c r="I10" s="21">
        <f>+Dados!K15</f>
        <v>19.437100000000001</v>
      </c>
      <c r="J10" s="21">
        <f t="shared" si="3"/>
        <v>184.20781045751636</v>
      </c>
      <c r="K10" s="21">
        <f t="shared" si="0"/>
        <v>43.233766666666668</v>
      </c>
      <c r="L10" s="21">
        <f t="shared" si="0"/>
        <v>604.1489869281047</v>
      </c>
    </row>
    <row r="11" spans="1:12" ht="30" customHeight="1" x14ac:dyDescent="0.25">
      <c r="A11" s="72" t="str">
        <f>+Dados!A44</f>
        <v>Sem.Mono (Tr 53 cv)
LinhaNº117 (IHERA)</v>
      </c>
      <c r="B11" s="85" t="str">
        <f>+Dados!A14</f>
        <v>Trator 53 cv (39 kW)
LinhaNº4 (IHERA)</v>
      </c>
      <c r="C11" s="76">
        <f>+Dados!H2</f>
        <v>5.8</v>
      </c>
      <c r="D11" s="76">
        <f>+Dados!L44</f>
        <v>0.86805555555555558</v>
      </c>
      <c r="E11" s="76">
        <f t="shared" si="1"/>
        <v>5.0347222222222223</v>
      </c>
      <c r="F11" s="76">
        <f>+Dados!O44</f>
        <v>5.0347222222222223</v>
      </c>
      <c r="G11" s="76">
        <f>+Dados!K44</f>
        <v>155.41810344827584</v>
      </c>
      <c r="H11" s="21">
        <f t="shared" si="2"/>
        <v>782.48697916666663</v>
      </c>
      <c r="I11" s="21">
        <f>+Dados!K14</f>
        <v>20.846273333333333</v>
      </c>
      <c r="J11" s="21">
        <f t="shared" si="3"/>
        <v>104.95519560185186</v>
      </c>
      <c r="K11" s="21">
        <f t="shared" si="0"/>
        <v>176.26437678160917</v>
      </c>
      <c r="L11" s="21">
        <f t="shared" si="0"/>
        <v>887.4421747685185</v>
      </c>
    </row>
    <row r="12" spans="1:12" ht="30" customHeight="1" x14ac:dyDescent="0.25">
      <c r="A12" s="72" t="str">
        <f>+Dados!A45</f>
        <v>Derreg.  (Tr 53 cv)
LinhaNº100 (IHERA)</v>
      </c>
      <c r="B12" s="85" t="str">
        <f>+Dados!A14</f>
        <v>Trator 53 cv (39 kW)
LinhaNº4 (IHERA)</v>
      </c>
      <c r="C12" s="76">
        <f>+Dados!H2</f>
        <v>5.8</v>
      </c>
      <c r="D12" s="76">
        <f>+Dados!L45</f>
        <v>1.3888888888888888</v>
      </c>
      <c r="E12" s="76">
        <f t="shared" si="1"/>
        <v>8.0555555555555554</v>
      </c>
      <c r="F12" s="76">
        <f>+Dados!O45</f>
        <v>15.000000000000002</v>
      </c>
      <c r="G12" s="76">
        <f>+Dados!K45</f>
        <v>10.396999999999998</v>
      </c>
      <c r="H12" s="21">
        <f t="shared" si="2"/>
        <v>155.95499999999998</v>
      </c>
      <c r="I12" s="21">
        <f>+Dados!K14</f>
        <v>20.846273333333333</v>
      </c>
      <c r="J12" s="21">
        <f t="shared" si="3"/>
        <v>167.92831296296296</v>
      </c>
      <c r="K12" s="21">
        <f t="shared" si="0"/>
        <v>31.243273333333331</v>
      </c>
      <c r="L12" s="21">
        <f t="shared" si="0"/>
        <v>323.88331296296292</v>
      </c>
    </row>
    <row r="13" spans="1:12" ht="30" customHeight="1" x14ac:dyDescent="0.25">
      <c r="A13" s="72" t="str">
        <f>+Dados!A46</f>
        <v>Col.Milho (1 linha)  (Tr 53 cv)
LinhaNº148 (IHERA)</v>
      </c>
      <c r="B13" s="85" t="str">
        <f>+Dados!A14</f>
        <v>Trator 53 cv (39 kW)
LinhaNº4 (IHERA)</v>
      </c>
      <c r="C13" s="76">
        <f>+Dados!H2</f>
        <v>5.8</v>
      </c>
      <c r="D13" s="76">
        <f>+Dados!L46</f>
        <v>12.5</v>
      </c>
      <c r="E13" s="76">
        <f t="shared" si="1"/>
        <v>72.5</v>
      </c>
      <c r="F13" s="76">
        <f>+Dados!O46</f>
        <v>72.5</v>
      </c>
      <c r="G13" s="76">
        <f>+Dados!K46</f>
        <v>44.69544827586207</v>
      </c>
      <c r="H13" s="21">
        <f t="shared" si="2"/>
        <v>3240.42</v>
      </c>
      <c r="I13" s="21">
        <f>+Dados!K14</f>
        <v>20.846273333333333</v>
      </c>
      <c r="J13" s="21">
        <f t="shared" si="3"/>
        <v>1511.3548166666667</v>
      </c>
      <c r="K13" s="21">
        <f t="shared" si="0"/>
        <v>65.541721609195406</v>
      </c>
      <c r="L13" s="21">
        <f t="shared" si="0"/>
        <v>4751.774816666667</v>
      </c>
    </row>
    <row r="14" spans="1:12" ht="30" customHeight="1" x14ac:dyDescent="0.25">
      <c r="A14" s="72" t="str">
        <f>+Dados!A47</f>
        <v>Semi-R. 5000 kg  (Tr 53 cv)
LinhaNº164 (IHERA)</v>
      </c>
      <c r="B14" s="85" t="str">
        <f>+Dados!A14</f>
        <v>Trator 53 cv (39 kW)
LinhaNº4 (IHERA)</v>
      </c>
      <c r="C14" s="76">
        <f>+Dados!H2/2</f>
        <v>2.9</v>
      </c>
      <c r="D14" s="76">
        <f>+Dados!L47</f>
        <v>12.5</v>
      </c>
      <c r="E14" s="76">
        <f t="shared" si="1"/>
        <v>36.25</v>
      </c>
      <c r="F14" s="76">
        <f>+Dados!O47</f>
        <v>51.875</v>
      </c>
      <c r="G14" s="76">
        <f>+Dados!K47</f>
        <v>9.736903614457832</v>
      </c>
      <c r="H14" s="21">
        <f t="shared" si="2"/>
        <v>505.10187500000006</v>
      </c>
      <c r="I14" s="160">
        <v>0</v>
      </c>
      <c r="J14" s="160">
        <f t="shared" si="3"/>
        <v>0</v>
      </c>
      <c r="K14" s="21">
        <f t="shared" si="0"/>
        <v>9.736903614457832</v>
      </c>
      <c r="L14" s="21">
        <f t="shared" si="0"/>
        <v>505.10187500000006</v>
      </c>
    </row>
    <row r="15" spans="1:12" ht="30" customHeight="1" x14ac:dyDescent="0.25">
      <c r="A15" s="72" t="str">
        <f>+Dados!A48</f>
        <v>Semi-R. 5000 kg  (Tr 45 cv)
LinhaNº164 (IHERA)</v>
      </c>
      <c r="B15" s="85" t="str">
        <f>+Dados!A15</f>
        <v>Trator 45 cv (33 kW)
LinhaNº3 (IHERA)</v>
      </c>
      <c r="C15" s="76">
        <f>+Dados!H2/2</f>
        <v>2.9</v>
      </c>
      <c r="D15" s="76">
        <f>+Dados!L48</f>
        <v>12.5</v>
      </c>
      <c r="E15" s="76">
        <f t="shared" si="1"/>
        <v>36.25</v>
      </c>
      <c r="F15" s="76">
        <f>+Dados!O48</f>
        <v>51.875</v>
      </c>
      <c r="G15" s="76">
        <f>+Dados!K48</f>
        <v>9.736903614457832</v>
      </c>
      <c r="H15" s="21">
        <f t="shared" si="2"/>
        <v>505.10187500000006</v>
      </c>
      <c r="I15" s="21">
        <f>+Dados!K15</f>
        <v>19.437100000000001</v>
      </c>
      <c r="J15" s="21">
        <f t="shared" si="3"/>
        <v>704.594875</v>
      </c>
      <c r="K15" s="21">
        <f t="shared" si="0"/>
        <v>29.174003614457831</v>
      </c>
      <c r="L15" s="21">
        <f t="shared" si="0"/>
        <v>1209.6967500000001</v>
      </c>
    </row>
    <row r="16" spans="1:12" ht="30" customHeight="1" x14ac:dyDescent="0.25">
      <c r="A16" s="74" t="s">
        <v>474</v>
      </c>
      <c r="B16" s="85" t="str">
        <f>+Dados!A16</f>
        <v>Trator 27 cv (20 kW)
LinhaNº1 (IHERA)</v>
      </c>
      <c r="C16" s="76"/>
      <c r="D16" s="76">
        <f>+Dados!J88</f>
        <v>12.5</v>
      </c>
      <c r="E16" s="76">
        <f>+Dados!K88</f>
        <v>72.5</v>
      </c>
      <c r="F16" s="76"/>
      <c r="G16" s="74"/>
      <c r="H16" s="74"/>
      <c r="I16" s="21">
        <f>+Dados!K16</f>
        <v>16.17746</v>
      </c>
      <c r="J16" s="21">
        <f t="shared" si="3"/>
        <v>1172.8658499999999</v>
      </c>
      <c r="K16" s="21">
        <f>+I16+G16</f>
        <v>16.17746</v>
      </c>
      <c r="L16" s="21">
        <f>+J16+H16</f>
        <v>1172.8658499999999</v>
      </c>
    </row>
    <row r="17" spans="1:12" ht="30" customHeight="1" x14ac:dyDescent="0.25">
      <c r="A17" s="158" t="s">
        <v>626</v>
      </c>
      <c r="B17" s="157"/>
      <c r="C17" s="157"/>
      <c r="D17" s="157"/>
      <c r="E17" s="25">
        <f>SUM(E4:E16)</f>
        <v>293.72528691942853</v>
      </c>
      <c r="F17" s="25">
        <f>SUM(F4:F16)</f>
        <v>298.89425394551358</v>
      </c>
      <c r="G17" s="157"/>
      <c r="H17" s="25">
        <f>SUM(H4:H16)</f>
        <v>7280.998947317652</v>
      </c>
      <c r="I17" s="157"/>
      <c r="J17" s="25">
        <f>SUM(J4:J16)</f>
        <v>4928.674781360266</v>
      </c>
      <c r="K17" s="157"/>
      <c r="L17" s="25">
        <f>SUM(L4:L16)</f>
        <v>12209.673728677919</v>
      </c>
    </row>
  </sheetData>
  <mergeCells count="3">
    <mergeCell ref="A2:A3"/>
    <mergeCell ref="B2:B3"/>
    <mergeCell ref="A1:L1"/>
  </mergeCells>
  <printOptions horizontalCentered="1" verticalCentered="1" gridLines="1"/>
  <pageMargins left="7.874015748031496E-2" right="0.70866141732283472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P4" sqref="P4"/>
    </sheetView>
  </sheetViews>
  <sheetFormatPr defaultColWidth="9.109375" defaultRowHeight="11.4" x14ac:dyDescent="0.25"/>
  <cols>
    <col min="1" max="1" width="17.6640625" style="2" customWidth="1"/>
    <col min="2" max="2" width="14.6640625" style="2" customWidth="1"/>
    <col min="3" max="4" width="3.33203125" style="2" customWidth="1"/>
    <col min="5" max="21" width="3.33203125" style="3" customWidth="1"/>
    <col min="22" max="22" width="3.6640625" style="3" customWidth="1"/>
    <col min="23" max="24" width="3.33203125" style="3" customWidth="1"/>
    <col min="25" max="25" width="3.6640625" style="3" customWidth="1"/>
    <col min="26" max="27" width="3.33203125" style="3" customWidth="1"/>
    <col min="28" max="28" width="3.6640625" style="3" customWidth="1"/>
    <col min="29" max="38" width="3.33203125" style="3" customWidth="1"/>
    <col min="39" max="39" width="10.44140625" style="3" customWidth="1"/>
    <col min="40" max="41" width="5.6640625" style="3" customWidth="1"/>
    <col min="42" max="42" width="6.6640625" style="7" customWidth="1"/>
    <col min="43" max="43" width="5.33203125" style="3" customWidth="1"/>
    <col min="44" max="44" width="6" style="3" customWidth="1"/>
    <col min="45" max="45" width="8.33203125" style="3" customWidth="1"/>
    <col min="46" max="46" width="8.5546875" style="3" customWidth="1"/>
    <col min="47" max="47" width="6.109375" style="3" customWidth="1"/>
    <col min="48" max="48" width="6.44140625" style="3" customWidth="1"/>
    <col min="49" max="49" width="6.109375" style="3" customWidth="1"/>
    <col min="50" max="50" width="6.44140625" style="3" customWidth="1"/>
    <col min="51" max="51" width="6.88671875" style="3" customWidth="1"/>
    <col min="52" max="52" width="2.33203125" style="3" customWidth="1"/>
    <col min="53" max="53" width="15.109375" style="3" customWidth="1"/>
    <col min="54" max="54" width="6.109375" style="3" customWidth="1"/>
    <col min="55" max="55" width="8.44140625" style="2" customWidth="1"/>
    <col min="56" max="56" width="8.33203125" style="3" customWidth="1"/>
    <col min="57" max="57" width="10.88671875" style="3" customWidth="1"/>
    <col min="58" max="58" width="9.33203125" style="3" customWidth="1"/>
    <col min="59" max="59" width="10.88671875" style="2" customWidth="1"/>
    <col min="60" max="60" width="8.6640625" style="9" customWidth="1"/>
    <col min="61" max="61" width="12.44140625" style="3" customWidth="1"/>
    <col min="62" max="62" width="12.6640625" style="3" customWidth="1"/>
    <col min="63" max="63" width="12.33203125" style="3" customWidth="1"/>
    <col min="64" max="64" width="10.6640625" style="3" customWidth="1"/>
    <col min="65" max="65" width="12.6640625" style="3" customWidth="1"/>
    <col min="66" max="16384" width="9.109375" style="2"/>
  </cols>
  <sheetData>
    <row r="1" spans="1:65" s="3" customFormat="1" ht="30.6" customHeight="1" x14ac:dyDescent="0.25">
      <c r="A1" s="219" t="str">
        <f>+Dados!A1</f>
        <v>Milho Silagem</v>
      </c>
      <c r="B1" s="205"/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8</v>
      </c>
      <c r="P1" s="3" t="s">
        <v>9</v>
      </c>
      <c r="Q1" s="3" t="s">
        <v>10</v>
      </c>
      <c r="R1" s="3" t="s">
        <v>2</v>
      </c>
      <c r="S1" s="3" t="s">
        <v>3</v>
      </c>
      <c r="T1" s="3" t="s">
        <v>4</v>
      </c>
      <c r="U1" s="3" t="s">
        <v>2</v>
      </c>
      <c r="V1" s="3" t="s">
        <v>3</v>
      </c>
      <c r="W1" s="3" t="s">
        <v>4</v>
      </c>
      <c r="X1" s="3" t="s">
        <v>11</v>
      </c>
      <c r="Y1" s="3" t="s">
        <v>12</v>
      </c>
      <c r="Z1" s="3" t="s">
        <v>13</v>
      </c>
      <c r="AA1" s="3" t="s">
        <v>14</v>
      </c>
      <c r="AB1" s="3" t="s">
        <v>15</v>
      </c>
      <c r="AC1" s="3" t="s">
        <v>16</v>
      </c>
      <c r="AD1" s="3" t="s">
        <v>17</v>
      </c>
      <c r="AE1" s="3" t="s">
        <v>18</v>
      </c>
      <c r="AF1" s="3" t="s">
        <v>19</v>
      </c>
      <c r="AG1" s="3" t="s">
        <v>20</v>
      </c>
      <c r="AH1" s="3" t="s">
        <v>21</v>
      </c>
      <c r="AI1" s="3" t="s">
        <v>22</v>
      </c>
      <c r="AJ1" s="3" t="s">
        <v>23</v>
      </c>
      <c r="AK1" s="3" t="s">
        <v>24</v>
      </c>
      <c r="AL1" s="3" t="s">
        <v>25</v>
      </c>
      <c r="AM1" s="7" t="s">
        <v>26</v>
      </c>
    </row>
    <row r="2" spans="1:65" s="3" customFormat="1" ht="19.95" customHeight="1" x14ac:dyDescent="0.25">
      <c r="A2" s="1" t="s">
        <v>0</v>
      </c>
      <c r="B2" s="1" t="s">
        <v>1</v>
      </c>
      <c r="C2" s="3" t="s">
        <v>31</v>
      </c>
      <c r="D2" s="3" t="s">
        <v>31</v>
      </c>
      <c r="E2" s="3" t="s">
        <v>31</v>
      </c>
      <c r="F2" s="3" t="s">
        <v>31</v>
      </c>
      <c r="G2" s="3" t="s">
        <v>31</v>
      </c>
      <c r="H2" s="3" t="s">
        <v>31</v>
      </c>
      <c r="I2" s="3" t="s">
        <v>31</v>
      </c>
      <c r="J2" s="3" t="s">
        <v>31</v>
      </c>
      <c r="K2" s="3" t="s">
        <v>31</v>
      </c>
      <c r="L2" s="3" t="s">
        <v>31</v>
      </c>
      <c r="M2" s="3" t="s">
        <v>31</v>
      </c>
      <c r="N2" s="3" t="s">
        <v>31</v>
      </c>
      <c r="O2" s="3" t="s">
        <v>31</v>
      </c>
      <c r="P2" s="3" t="s">
        <v>31</v>
      </c>
      <c r="Q2" s="3" t="s">
        <v>31</v>
      </c>
      <c r="R2" s="3" t="s">
        <v>31</v>
      </c>
      <c r="S2" s="3" t="s">
        <v>31</v>
      </c>
      <c r="T2" s="3" t="s">
        <v>31</v>
      </c>
      <c r="U2" s="3" t="s">
        <v>31</v>
      </c>
      <c r="V2" s="3" t="s">
        <v>31</v>
      </c>
      <c r="W2" s="3" t="s">
        <v>31</v>
      </c>
      <c r="X2" s="3" t="s">
        <v>31</v>
      </c>
      <c r="Y2" s="3" t="s">
        <v>31</v>
      </c>
      <c r="Z2" s="3" t="s">
        <v>31</v>
      </c>
      <c r="AA2" s="3" t="s">
        <v>31</v>
      </c>
      <c r="AB2" s="3" t="s">
        <v>31</v>
      </c>
      <c r="AC2" s="3" t="s">
        <v>31</v>
      </c>
      <c r="AD2" s="3" t="s">
        <v>31</v>
      </c>
      <c r="AE2" s="3" t="s">
        <v>31</v>
      </c>
      <c r="AF2" s="3" t="s">
        <v>31</v>
      </c>
      <c r="AG2" s="3" t="s">
        <v>31</v>
      </c>
      <c r="AH2" s="3" t="s">
        <v>31</v>
      </c>
      <c r="AI2" s="3" t="s">
        <v>31</v>
      </c>
      <c r="AJ2" s="3" t="s">
        <v>31</v>
      </c>
      <c r="AK2" s="3" t="s">
        <v>31</v>
      </c>
      <c r="AL2" s="3" t="s">
        <v>31</v>
      </c>
      <c r="AM2" s="7" t="s">
        <v>31</v>
      </c>
    </row>
    <row r="3" spans="1:65" ht="30" customHeight="1" x14ac:dyDescent="0.25">
      <c r="A3" s="65" t="str">
        <f>+Dados!A14</f>
        <v>Trator 53 cv (39 kW)
LinhaNº4 (IHERA)</v>
      </c>
      <c r="B3" s="65"/>
      <c r="C3" s="3"/>
      <c r="D3" s="3"/>
      <c r="P3" s="3">
        <f>+P7</f>
        <v>14.82769199304632</v>
      </c>
      <c r="Q3" s="3">
        <f>+Q11</f>
        <v>13.425925925925924</v>
      </c>
      <c r="R3" s="3">
        <f>+R14</f>
        <v>5.0347222222222223</v>
      </c>
      <c r="U3" s="3">
        <f>+U15</f>
        <v>8.0555555555555554</v>
      </c>
      <c r="AB3" s="3">
        <f>+AB17</f>
        <v>72.5</v>
      </c>
      <c r="AM3" s="7">
        <f>SUM(C3:AL3)</f>
        <v>113.84389569675002</v>
      </c>
      <c r="BL3" s="2"/>
      <c r="BM3" s="2"/>
    </row>
    <row r="4" spans="1:65" ht="30" customHeight="1" x14ac:dyDescent="0.25">
      <c r="A4" s="65" t="str">
        <f>+Dados!A15</f>
        <v>Trator 45 cv (33 kW)
LinhaNº3 (IHERA)</v>
      </c>
      <c r="B4" s="65"/>
      <c r="C4" s="3"/>
      <c r="D4" s="3"/>
      <c r="O4" s="3">
        <f>+O9</f>
        <v>1.6111111111111112</v>
      </c>
      <c r="P4" s="3">
        <f>+P8+P10</f>
        <v>20.168155928560875</v>
      </c>
      <c r="Q4" s="3">
        <f>+Q12+Q13</f>
        <v>13.102124183006536</v>
      </c>
      <c r="AB4" s="3">
        <f>+AB19</f>
        <v>36.25</v>
      </c>
      <c r="AM4" s="7">
        <f>SUM(C4:AL4)</f>
        <v>71.131391222678531</v>
      </c>
      <c r="BL4" s="2"/>
      <c r="BM4" s="2"/>
    </row>
    <row r="5" spans="1:65" ht="30" customHeight="1" x14ac:dyDescent="0.25">
      <c r="A5" s="65" t="str">
        <f>+Dados!A16</f>
        <v>Trator 27 cv (20 kW)
LinhaNº1 (IHERA)</v>
      </c>
      <c r="B5" s="65"/>
      <c r="C5" s="3"/>
      <c r="D5" s="3"/>
      <c r="AB5" s="3">
        <f>+AB20</f>
        <v>72.5</v>
      </c>
      <c r="AM5" s="7">
        <f>SUM(C5:AL5)</f>
        <v>72.5</v>
      </c>
      <c r="BL5" s="2"/>
      <c r="BM5" s="2"/>
    </row>
    <row r="6" spans="1:65" ht="7.95" customHeight="1" x14ac:dyDescent="0.25">
      <c r="A6" s="66"/>
      <c r="B6" s="6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7"/>
      <c r="BL6" s="2"/>
      <c r="BM6" s="2"/>
    </row>
    <row r="7" spans="1:65" ht="30" customHeight="1" x14ac:dyDescent="0.25">
      <c r="A7" s="65" t="s">
        <v>34</v>
      </c>
      <c r="B7" s="65" t="s">
        <v>462</v>
      </c>
      <c r="C7" s="3"/>
      <c r="D7" s="3"/>
      <c r="P7" s="3">
        <f>+Dados!M37</f>
        <v>14.82769199304632</v>
      </c>
      <c r="AM7" s="7">
        <f t="shared" ref="AM7:AM22" si="0">SUM(C7:AL7)</f>
        <v>14.82769199304632</v>
      </c>
      <c r="BL7" s="2"/>
      <c r="BM7" s="2"/>
    </row>
    <row r="8" spans="1:65" ht="30" customHeight="1" x14ac:dyDescent="0.25">
      <c r="A8" s="65" t="s">
        <v>34</v>
      </c>
      <c r="B8" s="65" t="s">
        <v>463</v>
      </c>
      <c r="C8" s="3"/>
      <c r="D8" s="3"/>
      <c r="P8" s="3">
        <f>+Dados!M38</f>
        <v>16.945933706338653</v>
      </c>
      <c r="AM8" s="7">
        <f t="shared" si="0"/>
        <v>16.945933706338653</v>
      </c>
      <c r="BL8" s="2"/>
      <c r="BM8" s="2"/>
    </row>
    <row r="9" spans="1:65" ht="30" customHeight="1" x14ac:dyDescent="0.25">
      <c r="A9" s="65" t="s">
        <v>620</v>
      </c>
      <c r="B9" s="65" t="s">
        <v>464</v>
      </c>
      <c r="C9" s="3"/>
      <c r="D9" s="3"/>
      <c r="O9" s="3">
        <f>+Dados!M39</f>
        <v>1.6111111111111112</v>
      </c>
      <c r="AM9" s="7">
        <f t="shared" si="0"/>
        <v>1.6111111111111112</v>
      </c>
      <c r="BL9" s="2"/>
      <c r="BM9" s="2"/>
    </row>
    <row r="10" spans="1:65" ht="30" customHeight="1" x14ac:dyDescent="0.25">
      <c r="A10" s="65" t="s">
        <v>35</v>
      </c>
      <c r="B10" s="65" t="s">
        <v>464</v>
      </c>
      <c r="C10" s="3"/>
      <c r="D10" s="3"/>
      <c r="P10" s="3">
        <f>+Dados!M40</f>
        <v>3.2222222222222223</v>
      </c>
      <c r="AM10" s="7">
        <f t="shared" si="0"/>
        <v>3.2222222222222223</v>
      </c>
      <c r="BL10" s="2"/>
      <c r="BM10" s="2"/>
    </row>
    <row r="11" spans="1:65" ht="30" customHeight="1" x14ac:dyDescent="0.25">
      <c r="A11" s="65" t="s">
        <v>36</v>
      </c>
      <c r="B11" s="66" t="s">
        <v>465</v>
      </c>
      <c r="C11" s="3"/>
      <c r="D11" s="3"/>
      <c r="Q11" s="3">
        <f>+Dados!M41</f>
        <v>13.425925925925924</v>
      </c>
      <c r="AM11" s="7">
        <f t="shared" si="0"/>
        <v>13.425925925925924</v>
      </c>
      <c r="BL11" s="2"/>
      <c r="BM11" s="2"/>
    </row>
    <row r="12" spans="1:65" ht="30" customHeight="1" x14ac:dyDescent="0.25">
      <c r="A12" s="65" t="s">
        <v>37</v>
      </c>
      <c r="B12" s="65" t="s">
        <v>466</v>
      </c>
      <c r="C12" s="3"/>
      <c r="D12" s="3"/>
      <c r="Q12" s="3">
        <f>+Dados!M42</f>
        <v>3.625</v>
      </c>
      <c r="AM12" s="7">
        <f t="shared" si="0"/>
        <v>3.625</v>
      </c>
      <c r="BL12" s="2"/>
      <c r="BM12" s="2"/>
    </row>
    <row r="13" spans="1:65" ht="30" customHeight="1" x14ac:dyDescent="0.25">
      <c r="A13" s="65" t="s">
        <v>38</v>
      </c>
      <c r="B13" s="66" t="s">
        <v>467</v>
      </c>
      <c r="C13" s="3"/>
      <c r="D13" s="3"/>
      <c r="Q13" s="3">
        <f>+Dados!M43</f>
        <v>9.477124183006536</v>
      </c>
      <c r="AM13" s="7">
        <f t="shared" si="0"/>
        <v>9.477124183006536</v>
      </c>
      <c r="BL13" s="2"/>
      <c r="BM13" s="2"/>
    </row>
    <row r="14" spans="1:65" ht="30" customHeight="1" x14ac:dyDescent="0.25">
      <c r="A14" s="65" t="s">
        <v>39</v>
      </c>
      <c r="B14" s="65" t="s">
        <v>468</v>
      </c>
      <c r="C14" s="3"/>
      <c r="D14" s="3"/>
      <c r="O14" s="8"/>
      <c r="R14" s="3">
        <f>+Dados!M44</f>
        <v>5.0347222222222223</v>
      </c>
      <c r="AM14" s="7">
        <f t="shared" si="0"/>
        <v>5.0347222222222223</v>
      </c>
      <c r="BL14" s="2"/>
      <c r="BM14" s="2"/>
    </row>
    <row r="15" spans="1:65" ht="30" customHeight="1" x14ac:dyDescent="0.25">
      <c r="A15" s="65" t="s">
        <v>40</v>
      </c>
      <c r="B15" s="65" t="s">
        <v>469</v>
      </c>
      <c r="C15" s="3"/>
      <c r="D15" s="3"/>
      <c r="U15" s="3">
        <f>+Dados!M45</f>
        <v>8.0555555555555554</v>
      </c>
      <c r="AM15" s="7">
        <f t="shared" si="0"/>
        <v>8.0555555555555554</v>
      </c>
      <c r="BL15" s="2"/>
      <c r="BM15" s="2"/>
    </row>
    <row r="16" spans="1:65" ht="30" customHeight="1" x14ac:dyDescent="0.25">
      <c r="A16" s="66" t="s">
        <v>41</v>
      </c>
      <c r="B16" s="66" t="s">
        <v>460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">
        <f>+Dados!$H$2*Dados!J85</f>
        <v>116</v>
      </c>
      <c r="W16" s="8"/>
      <c r="X16" s="8"/>
      <c r="Y16" s="8">
        <f>+Dados!$H$2*Dados!J85</f>
        <v>116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7">
        <f t="shared" si="0"/>
        <v>232</v>
      </c>
      <c r="BL16" s="2"/>
      <c r="BM16" s="2"/>
    </row>
    <row r="17" spans="1:65" ht="30" customHeight="1" x14ac:dyDescent="0.25">
      <c r="A17" s="65" t="s">
        <v>457</v>
      </c>
      <c r="B17" s="65" t="s">
        <v>470</v>
      </c>
      <c r="C17" s="3"/>
      <c r="D17" s="3"/>
      <c r="AB17" s="3">
        <f>+Dados!M46</f>
        <v>72.5</v>
      </c>
      <c r="AM17" s="7">
        <f t="shared" si="0"/>
        <v>72.5</v>
      </c>
      <c r="BL17" s="2"/>
      <c r="BM17" s="2"/>
    </row>
    <row r="18" spans="1:65" ht="30" customHeight="1" x14ac:dyDescent="0.25">
      <c r="A18" s="65" t="s">
        <v>607</v>
      </c>
      <c r="B18" s="65" t="s">
        <v>471</v>
      </c>
      <c r="C18" s="3"/>
      <c r="D18" s="3"/>
      <c r="AB18" s="3">
        <f>+Dados!M47</f>
        <v>36.25</v>
      </c>
      <c r="AM18" s="7">
        <f t="shared" si="0"/>
        <v>36.25</v>
      </c>
      <c r="BL18" s="2"/>
      <c r="BM18" s="2"/>
    </row>
    <row r="19" spans="1:65" ht="30" customHeight="1" x14ac:dyDescent="0.25">
      <c r="A19" s="65" t="s">
        <v>607</v>
      </c>
      <c r="B19" s="65" t="s">
        <v>472</v>
      </c>
      <c r="C19" s="3"/>
      <c r="D19" s="3"/>
      <c r="AB19" s="3">
        <f>+Dados!M48</f>
        <v>36.25</v>
      </c>
      <c r="AM19" s="7">
        <f t="shared" si="0"/>
        <v>36.25</v>
      </c>
      <c r="BL19" s="2"/>
      <c r="BM19" s="2"/>
    </row>
    <row r="20" spans="1:65" ht="30" customHeight="1" x14ac:dyDescent="0.25">
      <c r="A20" s="65" t="s">
        <v>473</v>
      </c>
      <c r="B20" s="65" t="s">
        <v>660</v>
      </c>
      <c r="C20" s="3"/>
      <c r="D20" s="3"/>
      <c r="AB20" s="3">
        <f>+Dados!H2*Dados!J88</f>
        <v>72.5</v>
      </c>
      <c r="AM20" s="7">
        <f t="shared" si="0"/>
        <v>72.5</v>
      </c>
      <c r="BL20" s="2"/>
      <c r="BM20" s="2"/>
    </row>
    <row r="21" spans="1:65" ht="30" customHeight="1" x14ac:dyDescent="0.25">
      <c r="A21" s="65" t="s">
        <v>459</v>
      </c>
      <c r="B21" s="193">
        <f>+Dados!I89</f>
        <v>3</v>
      </c>
      <c r="C21" s="3"/>
      <c r="D21" s="3"/>
      <c r="AB21" s="3">
        <f>+AB20*Dados!I89</f>
        <v>217.5</v>
      </c>
      <c r="AM21" s="7">
        <f t="shared" si="0"/>
        <v>217.5</v>
      </c>
      <c r="BL21" s="2"/>
      <c r="BM21" s="2"/>
    </row>
    <row r="22" spans="1:65" ht="30" customHeight="1" x14ac:dyDescent="0.25">
      <c r="A22" s="194" t="s">
        <v>44</v>
      </c>
      <c r="B22" s="65"/>
      <c r="C22" s="3">
        <f t="shared" ref="C22:AL22" si="1">SUM(C7:C20)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1.6111111111111112</v>
      </c>
      <c r="P22" s="3">
        <f t="shared" si="1"/>
        <v>34.995847921607194</v>
      </c>
      <c r="Q22" s="3">
        <f t="shared" si="1"/>
        <v>26.528050108932462</v>
      </c>
      <c r="R22" s="3">
        <f t="shared" si="1"/>
        <v>5.0347222222222223</v>
      </c>
      <c r="S22" s="3">
        <f t="shared" si="1"/>
        <v>0</v>
      </c>
      <c r="T22" s="3">
        <f t="shared" si="1"/>
        <v>0</v>
      </c>
      <c r="U22" s="3">
        <f t="shared" si="1"/>
        <v>8.0555555555555554</v>
      </c>
      <c r="V22" s="3">
        <f t="shared" si="1"/>
        <v>116</v>
      </c>
      <c r="W22" s="3">
        <f t="shared" si="1"/>
        <v>0</v>
      </c>
      <c r="X22" s="3">
        <f t="shared" si="1"/>
        <v>0</v>
      </c>
      <c r="Y22" s="3">
        <f t="shared" si="1"/>
        <v>116</v>
      </c>
      <c r="Z22" s="3">
        <f t="shared" si="1"/>
        <v>0</v>
      </c>
      <c r="AA22" s="3">
        <f t="shared" si="1"/>
        <v>0</v>
      </c>
      <c r="AB22" s="3">
        <f t="shared" si="1"/>
        <v>217.5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0</v>
      </c>
      <c r="AJ22" s="3">
        <f t="shared" si="1"/>
        <v>0</v>
      </c>
      <c r="AK22" s="3">
        <f t="shared" si="1"/>
        <v>0</v>
      </c>
      <c r="AL22" s="3">
        <f t="shared" si="1"/>
        <v>0</v>
      </c>
      <c r="AM22" s="7">
        <f t="shared" si="0"/>
        <v>525.72528691942853</v>
      </c>
      <c r="BL22" s="115"/>
      <c r="BM22" s="2"/>
    </row>
    <row r="23" spans="1:65" ht="30" customHeight="1" x14ac:dyDescent="0.25">
      <c r="A23" s="2" t="s">
        <v>45</v>
      </c>
      <c r="B23" s="1"/>
      <c r="C23" s="3">
        <f>+C22/(8*10)+0.4</f>
        <v>0.4</v>
      </c>
      <c r="D23" s="3">
        <f t="shared" ref="D23:AL23" si="2">+D22/(8*10)+0.4</f>
        <v>0.4</v>
      </c>
      <c r="E23" s="3">
        <f t="shared" si="2"/>
        <v>0.4</v>
      </c>
      <c r="F23" s="3">
        <f t="shared" si="2"/>
        <v>0.4</v>
      </c>
      <c r="G23" s="3">
        <f t="shared" si="2"/>
        <v>0.4</v>
      </c>
      <c r="H23" s="3">
        <f t="shared" si="2"/>
        <v>0.4</v>
      </c>
      <c r="I23" s="3">
        <f t="shared" si="2"/>
        <v>0.4</v>
      </c>
      <c r="J23" s="3">
        <f t="shared" si="2"/>
        <v>0.4</v>
      </c>
      <c r="K23" s="3">
        <f t="shared" si="2"/>
        <v>0.4</v>
      </c>
      <c r="L23" s="3">
        <f t="shared" si="2"/>
        <v>0.4</v>
      </c>
      <c r="M23" s="3">
        <f t="shared" si="2"/>
        <v>0.4</v>
      </c>
      <c r="N23" s="3">
        <f t="shared" si="2"/>
        <v>0.4</v>
      </c>
      <c r="O23" s="3">
        <f t="shared" si="2"/>
        <v>0.4201388888888889</v>
      </c>
      <c r="P23" s="3">
        <f t="shared" si="2"/>
        <v>0.83744809902008988</v>
      </c>
      <c r="Q23" s="3">
        <f t="shared" si="2"/>
        <v>0.73160062636165579</v>
      </c>
      <c r="R23" s="3">
        <f t="shared" si="2"/>
        <v>0.46293402777777781</v>
      </c>
      <c r="S23" s="3">
        <f t="shared" si="2"/>
        <v>0.4</v>
      </c>
      <c r="T23" s="3">
        <f t="shared" si="2"/>
        <v>0.4</v>
      </c>
      <c r="U23" s="3">
        <f t="shared" si="2"/>
        <v>0.50069444444444444</v>
      </c>
      <c r="V23" s="3">
        <f t="shared" si="2"/>
        <v>1.85</v>
      </c>
      <c r="W23" s="3">
        <f t="shared" si="2"/>
        <v>0.4</v>
      </c>
      <c r="X23" s="3">
        <f t="shared" si="2"/>
        <v>0.4</v>
      </c>
      <c r="Y23" s="3">
        <f t="shared" si="2"/>
        <v>1.85</v>
      </c>
      <c r="Z23" s="3">
        <f t="shared" si="2"/>
        <v>0.4</v>
      </c>
      <c r="AA23" s="3">
        <f t="shared" si="2"/>
        <v>0.4</v>
      </c>
      <c r="AB23" s="3">
        <f t="shared" si="2"/>
        <v>3.1187499999999999</v>
      </c>
      <c r="AC23" s="3">
        <f t="shared" si="2"/>
        <v>0.4</v>
      </c>
      <c r="AD23" s="3">
        <f t="shared" si="2"/>
        <v>0.4</v>
      </c>
      <c r="AE23" s="3">
        <f t="shared" si="2"/>
        <v>0.4</v>
      </c>
      <c r="AF23" s="3">
        <f t="shared" si="2"/>
        <v>0.4</v>
      </c>
      <c r="AG23" s="3">
        <f t="shared" si="2"/>
        <v>0.4</v>
      </c>
      <c r="AH23" s="3">
        <f t="shared" si="2"/>
        <v>0.4</v>
      </c>
      <c r="AI23" s="3">
        <f t="shared" si="2"/>
        <v>0.4</v>
      </c>
      <c r="AJ23" s="3">
        <f t="shared" si="2"/>
        <v>0.4</v>
      </c>
      <c r="AK23" s="3">
        <f t="shared" si="2"/>
        <v>0.4</v>
      </c>
      <c r="AL23" s="3">
        <f t="shared" si="2"/>
        <v>0.4</v>
      </c>
      <c r="AM23" s="7"/>
      <c r="BL23" s="2"/>
      <c r="BM23" s="2"/>
    </row>
    <row r="24" spans="1:65" ht="19.95" customHeight="1" x14ac:dyDescent="0.25">
      <c r="B24" s="188"/>
      <c r="C24" s="189"/>
      <c r="D24" s="9"/>
      <c r="AP24" s="3"/>
      <c r="BD24" s="4"/>
    </row>
    <row r="25" spans="1:65" ht="19.95" customHeight="1" x14ac:dyDescent="0.25">
      <c r="B25" s="188"/>
      <c r="C25" s="189"/>
      <c r="D25" s="9"/>
    </row>
    <row r="26" spans="1:65" ht="19.95" customHeight="1" x14ac:dyDescent="0.25">
      <c r="B26" s="3"/>
      <c r="C26" s="3"/>
      <c r="D26" s="3"/>
    </row>
    <row r="27" spans="1:65" ht="19.95" customHeight="1" x14ac:dyDescent="0.25">
      <c r="A27" s="3"/>
      <c r="B27" s="3"/>
      <c r="C27" s="3"/>
      <c r="D27" s="3"/>
      <c r="BD27" s="8"/>
    </row>
    <row r="28" spans="1:65" ht="19.95" customHeight="1" x14ac:dyDescent="0.25">
      <c r="A28" s="3"/>
      <c r="B28" s="3"/>
      <c r="C28" s="3"/>
      <c r="D28" s="3"/>
      <c r="BD28" s="4"/>
    </row>
    <row r="29" spans="1:65" ht="19.95" customHeight="1" x14ac:dyDescent="0.25">
      <c r="A29" s="3"/>
      <c r="B29" s="3"/>
      <c r="C29" s="3"/>
      <c r="D29" s="3"/>
    </row>
    <row r="30" spans="1:65" ht="19.95" customHeight="1" x14ac:dyDescent="0.25">
      <c r="BD30" s="8"/>
    </row>
    <row r="31" spans="1:65" x14ac:dyDescent="0.25">
      <c r="BD31" s="8"/>
    </row>
    <row r="32" spans="1:65" x14ac:dyDescent="0.25">
      <c r="BD32" s="8"/>
    </row>
    <row r="33" spans="56:56" x14ac:dyDescent="0.25">
      <c r="BD33" s="8"/>
    </row>
  </sheetData>
  <mergeCells count="1">
    <mergeCell ref="A1:B1"/>
  </mergeCells>
  <printOptions horizontalCentered="1" verticalCentered="1" gridLines="1" gridLinesSet="0"/>
  <pageMargins left="3.937007874015748E-2" right="3.937007874015748E-2" top="7.874015748031496E-2" bottom="7.874015748031496E-2" header="0.51181102362204722" footer="0.51181102362204722"/>
  <pageSetup paperSize="9" scale="88" pageOrder="overThenDown" orientation="landscape" horizontalDpi="120" verticalDpi="72" r:id="rId1"/>
  <headerFooter alignWithMargins="0"/>
  <rowBreaks count="1" manualBreakCount="1">
    <brk id="23" max="16383" man="1"/>
  </rowBreaks>
  <colBreaks count="1" manualBreakCount="1">
    <brk id="5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90" zoomScaleNormal="90" workbookViewId="0">
      <pane ySplit="2" topLeftCell="A3" activePane="bottomLeft" state="frozen"/>
      <selection pane="bottomLeft" activeCell="S8" sqref="S8"/>
    </sheetView>
  </sheetViews>
  <sheetFormatPr defaultRowHeight="12.6" x14ac:dyDescent="0.25"/>
  <cols>
    <col min="1" max="1" width="18" customWidth="1"/>
    <col min="2" max="2" width="15.6640625" customWidth="1"/>
    <col min="3" max="3" width="9" customWidth="1"/>
    <col min="4" max="15" width="8.33203125" customWidth="1"/>
    <col min="16" max="16" width="15.5546875" customWidth="1"/>
    <col min="17" max="17" width="6.33203125" customWidth="1"/>
    <col min="18" max="18" width="6.6640625" customWidth="1"/>
    <col min="19" max="19" width="7.33203125" customWidth="1"/>
    <col min="20" max="20" width="9.6640625" customWidth="1"/>
    <col min="21" max="21" width="9" customWidth="1"/>
    <col min="22" max="22" width="7" customWidth="1"/>
    <col min="23" max="23" width="5.6640625" customWidth="1"/>
    <col min="24" max="24" width="6.33203125" customWidth="1"/>
    <col min="25" max="25" width="11" customWidth="1"/>
    <col min="26" max="26" width="12.33203125" customWidth="1"/>
  </cols>
  <sheetData>
    <row r="1" spans="1:15" ht="34.200000000000003" x14ac:dyDescent="0.25">
      <c r="A1" s="219" t="str">
        <f>+Dados!A1</f>
        <v>Milho Silagem</v>
      </c>
      <c r="B1" s="205"/>
      <c r="C1" s="162" t="s">
        <v>636</v>
      </c>
      <c r="D1" s="3" t="s">
        <v>51</v>
      </c>
      <c r="E1" s="3" t="s">
        <v>51</v>
      </c>
      <c r="F1" s="3" t="s">
        <v>52</v>
      </c>
      <c r="G1" s="3" t="s">
        <v>52</v>
      </c>
      <c r="H1" s="3" t="s">
        <v>53</v>
      </c>
      <c r="I1" s="3" t="s">
        <v>54</v>
      </c>
      <c r="J1" s="3" t="s">
        <v>54</v>
      </c>
      <c r="K1" s="3" t="s">
        <v>54</v>
      </c>
      <c r="L1" s="3" t="s">
        <v>27</v>
      </c>
      <c r="M1" s="3" t="s">
        <v>27</v>
      </c>
      <c r="N1" s="3" t="s">
        <v>27</v>
      </c>
      <c r="O1" s="12" t="s">
        <v>66</v>
      </c>
    </row>
    <row r="2" spans="1:15" x14ac:dyDescent="0.25">
      <c r="A2" s="1" t="s">
        <v>0</v>
      </c>
      <c r="B2" s="1" t="s">
        <v>1</v>
      </c>
      <c r="C2" s="7" t="s">
        <v>31</v>
      </c>
      <c r="D2" s="3" t="s">
        <v>31</v>
      </c>
      <c r="E2" s="3" t="s">
        <v>47</v>
      </c>
      <c r="F2" s="3" t="s">
        <v>31</v>
      </c>
      <c r="G2" s="3" t="s">
        <v>46</v>
      </c>
      <c r="H2" s="3" t="s">
        <v>31</v>
      </c>
      <c r="I2" s="3" t="s">
        <v>47</v>
      </c>
      <c r="J2" s="3" t="s">
        <v>46</v>
      </c>
      <c r="K2" s="3" t="s">
        <v>706</v>
      </c>
      <c r="L2" s="3" t="s">
        <v>47</v>
      </c>
      <c r="M2" s="3" t="s">
        <v>46</v>
      </c>
      <c r="N2" s="3" t="s">
        <v>706</v>
      </c>
      <c r="O2" s="3" t="s">
        <v>48</v>
      </c>
    </row>
    <row r="3" spans="1:15" ht="25.2" customHeight="1" x14ac:dyDescent="0.25">
      <c r="A3" s="65" t="str">
        <f>+Dados!A14</f>
        <v>Trator 53 cv (39 kW)
LinhaNº4 (IHERA)</v>
      </c>
      <c r="B3" s="65"/>
      <c r="C3" s="7">
        <f>+Cal_Cult!AM3</f>
        <v>113.84389569675002</v>
      </c>
      <c r="D3" s="3"/>
      <c r="E3" s="3"/>
      <c r="F3" s="3"/>
      <c r="G3" s="3"/>
      <c r="H3" s="3"/>
      <c r="I3" s="8"/>
      <c r="J3" s="8"/>
      <c r="K3" s="3"/>
      <c r="L3" s="3"/>
      <c r="M3" s="3"/>
      <c r="N3" s="3"/>
      <c r="O3" s="11"/>
    </row>
    <row r="4" spans="1:15" ht="25.2" customHeight="1" x14ac:dyDescent="0.25">
      <c r="A4" s="65" t="str">
        <f>+Dados!A15</f>
        <v>Trator 45 cv (33 kW)
LinhaNº3 (IHERA)</v>
      </c>
      <c r="B4" s="65"/>
      <c r="C4" s="7">
        <f>+Cal_Cult!AM4</f>
        <v>71.131391222678531</v>
      </c>
      <c r="D4" s="3"/>
      <c r="E4" s="3"/>
      <c r="F4" s="3"/>
      <c r="G4" s="3"/>
      <c r="H4" s="3"/>
      <c r="I4" s="8"/>
      <c r="J4" s="8"/>
      <c r="K4" s="3"/>
      <c r="L4" s="3"/>
      <c r="M4" s="3"/>
      <c r="N4" s="3"/>
      <c r="O4" s="11"/>
    </row>
    <row r="5" spans="1:15" ht="25.2" customHeight="1" x14ac:dyDescent="0.25">
      <c r="A5" s="65" t="str">
        <f>+Dados!A16</f>
        <v>Trator 27 cv (20 kW)
LinhaNº1 (IHERA)</v>
      </c>
      <c r="B5" s="65"/>
      <c r="C5" s="7">
        <f>+Cal_Cult!AM5</f>
        <v>72.5</v>
      </c>
      <c r="D5" s="3"/>
      <c r="E5" s="3"/>
      <c r="F5" s="3"/>
      <c r="G5" s="3"/>
      <c r="H5" s="3"/>
      <c r="I5" s="8"/>
      <c r="J5" s="8"/>
      <c r="K5" s="3"/>
      <c r="L5" s="3"/>
      <c r="M5" s="3"/>
      <c r="N5" s="3"/>
      <c r="O5" s="11"/>
    </row>
    <row r="6" spans="1:15" ht="25.2" customHeight="1" x14ac:dyDescent="0.25">
      <c r="A6" s="66"/>
      <c r="B6" s="66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5.2" customHeight="1" x14ac:dyDescent="0.25">
      <c r="A7" s="65" t="str">
        <f>+Cal_Cult!A7</f>
        <v>Lavoura</v>
      </c>
      <c r="B7" s="65" t="str">
        <f>+Cal_Cult!B7</f>
        <v>Ch 2F+Tr1</v>
      </c>
      <c r="C7" s="7">
        <f>+Cal_Cult!AM7</f>
        <v>14.82769199304632</v>
      </c>
      <c r="D7" s="3"/>
      <c r="E7" s="3"/>
      <c r="F7" s="3"/>
      <c r="G7" s="3"/>
      <c r="H7" s="7">
        <f t="shared" ref="H7:H15" si="0">+C7</f>
        <v>14.82769199304632</v>
      </c>
      <c r="I7" s="7">
        <f>+H7*Dados!I14</f>
        <v>83.976633602617838</v>
      </c>
      <c r="J7" s="7">
        <f>+H7*Dados!J14</f>
        <v>225.12548658690386</v>
      </c>
      <c r="K7" s="7">
        <f t="shared" ref="K7:K15" si="1">+I7+J7</f>
        <v>309.10212018952171</v>
      </c>
      <c r="L7" s="7">
        <f>+H7*(Dados!I37)</f>
        <v>220.20227272727269</v>
      </c>
      <c r="M7" s="7">
        <f>+H7*Dados!J37</f>
        <v>26.675017895490331</v>
      </c>
      <c r="N7" s="3">
        <f t="shared" ref="N7:N15" si="2">+L7+M7</f>
        <v>246.87729062276301</v>
      </c>
      <c r="O7" s="3">
        <f t="shared" ref="O7:O15" si="3">+K7+N7</f>
        <v>555.97941081228475</v>
      </c>
    </row>
    <row r="8" spans="1:15" ht="25.2" customHeight="1" x14ac:dyDescent="0.25">
      <c r="A8" s="65" t="str">
        <f>+Cal_Cult!A8</f>
        <v>Lavoura</v>
      </c>
      <c r="B8" s="65" t="str">
        <f>+Cal_Cult!B8</f>
        <v>Ch 1F+Tr2</v>
      </c>
      <c r="C8" s="7">
        <f>+Cal_Cult!AM8</f>
        <v>16.945933706338653</v>
      </c>
      <c r="D8" s="3"/>
      <c r="E8" s="3"/>
      <c r="F8" s="3"/>
      <c r="G8" s="3"/>
      <c r="H8" s="7">
        <f t="shared" si="0"/>
        <v>16.945933706338653</v>
      </c>
      <c r="I8" s="7">
        <f>+H8*Dados!I15</f>
        <v>83.229953398682298</v>
      </c>
      <c r="J8" s="7">
        <f>+H8*Dados!J15</f>
        <v>246.14985464479275</v>
      </c>
      <c r="K8" s="7">
        <f t="shared" si="1"/>
        <v>329.37980804347507</v>
      </c>
      <c r="L8" s="7">
        <f>+H8*(Dados!I38)</f>
        <v>154.66666666666666</v>
      </c>
      <c r="M8" s="7">
        <f>+H8*Dados!J38</f>
        <v>18.979445751099295</v>
      </c>
      <c r="N8" s="3">
        <f t="shared" si="2"/>
        <v>173.64611241776595</v>
      </c>
      <c r="O8" s="3">
        <f t="shared" si="3"/>
        <v>503.02592046124101</v>
      </c>
    </row>
    <row r="9" spans="1:15" ht="25.2" customHeight="1" x14ac:dyDescent="0.25">
      <c r="A9" s="65" t="str">
        <f>+Cal_Cult!A9</f>
        <v>Calagem</v>
      </c>
      <c r="B9" s="65" t="str">
        <f>+Cal_Cult!B9</f>
        <v>Dist.Cent.+Tr2</v>
      </c>
      <c r="C9" s="7">
        <f>+Cal_Cult!AM9</f>
        <v>1.6111111111111112</v>
      </c>
      <c r="D9" s="3"/>
      <c r="E9" s="3"/>
      <c r="F9" s="3"/>
      <c r="G9" s="3"/>
      <c r="H9" s="7">
        <f t="shared" si="0"/>
        <v>1.6111111111111112</v>
      </c>
      <c r="I9" s="7">
        <f>+H9*Dados!I15</f>
        <v>7.9129722222222227</v>
      </c>
      <c r="J9" s="7">
        <f>+H9*Dados!J15</f>
        <v>23.402355555555559</v>
      </c>
      <c r="K9" s="7">
        <f t="shared" si="1"/>
        <v>31.315327777777782</v>
      </c>
      <c r="L9" s="7">
        <f>+H9*Dados!I39</f>
        <v>51.000700934579434</v>
      </c>
      <c r="M9" s="7">
        <f>+H9*Dados!J39</f>
        <v>1.5547222222222221</v>
      </c>
      <c r="N9" s="3">
        <f t="shared" si="2"/>
        <v>52.555423156801659</v>
      </c>
      <c r="O9" s="3">
        <f t="shared" si="3"/>
        <v>83.870750934579434</v>
      </c>
    </row>
    <row r="10" spans="1:15" ht="25.2" customHeight="1" x14ac:dyDescent="0.25">
      <c r="A10" s="65" t="str">
        <f>+Cal_Cult!A10</f>
        <v>Adubação</v>
      </c>
      <c r="B10" s="65" t="str">
        <f>+Cal_Cult!B10</f>
        <v>Dist.Cent.+Tr2</v>
      </c>
      <c r="C10" s="7">
        <f>+Cal_Cult!AM10</f>
        <v>3.2222222222222223</v>
      </c>
      <c r="D10" s="3"/>
      <c r="E10" s="3"/>
      <c r="F10" s="3"/>
      <c r="G10" s="3"/>
      <c r="H10" s="7">
        <f t="shared" si="0"/>
        <v>3.2222222222222223</v>
      </c>
      <c r="I10" s="7">
        <f>+H9*Dados!I15</f>
        <v>7.9129722222222227</v>
      </c>
      <c r="J10" s="7">
        <f>+H9*Dados!J15</f>
        <v>23.402355555555559</v>
      </c>
      <c r="K10" s="7">
        <f t="shared" si="1"/>
        <v>31.315327777777782</v>
      </c>
      <c r="L10" s="7">
        <f>+H9*Dados!I40</f>
        <v>51.000700934579434</v>
      </c>
      <c r="M10" s="7">
        <f>+H10*Dados!J40</f>
        <v>3.1094444444444442</v>
      </c>
      <c r="N10" s="3">
        <f t="shared" si="2"/>
        <v>54.110145379023876</v>
      </c>
      <c r="O10" s="3">
        <f t="shared" si="3"/>
        <v>85.425473156801658</v>
      </c>
    </row>
    <row r="11" spans="1:15" ht="25.2" customHeight="1" x14ac:dyDescent="0.25">
      <c r="A11" s="65" t="str">
        <f>+Cal_Cult!A11</f>
        <v>Gradagem</v>
      </c>
      <c r="B11" s="66" t="str">
        <f>+Cal_Cult!B11</f>
        <v>Grad.discos+Tr1</v>
      </c>
      <c r="C11" s="7">
        <f>+Cal_Cult!AM11</f>
        <v>13.425925925925924</v>
      </c>
      <c r="D11" s="3"/>
      <c r="E11" s="3"/>
      <c r="F11" s="3"/>
      <c r="G11" s="3"/>
      <c r="H11" s="7">
        <f t="shared" si="0"/>
        <v>13.425925925925924</v>
      </c>
      <c r="I11" s="7">
        <f>+H11*Dados!I14</f>
        <v>76.037731481481472</v>
      </c>
      <c r="J11" s="7">
        <f>+H11*Dados!J14</f>
        <v>203.84279012345675</v>
      </c>
      <c r="K11" s="7">
        <f t="shared" si="1"/>
        <v>279.88052160493822</v>
      </c>
      <c r="L11" s="7">
        <f>+H11*Dados!I41</f>
        <v>183.61296296296294</v>
      </c>
      <c r="M11" s="7">
        <f>+H11*Dados!J41</f>
        <v>17.655092592592588</v>
      </c>
      <c r="N11" s="3">
        <f t="shared" si="2"/>
        <v>201.26805555555552</v>
      </c>
      <c r="O11" s="3">
        <f t="shared" si="3"/>
        <v>481.14857716049374</v>
      </c>
    </row>
    <row r="12" spans="1:15" ht="25.2" customHeight="1" x14ac:dyDescent="0.25">
      <c r="A12" s="65" t="str">
        <f>+Cal_Cult!A12</f>
        <v>Aplic.herb.</v>
      </c>
      <c r="B12" s="65" t="str">
        <f>+Cal_Cult!B12</f>
        <v>PJP+Tr2</v>
      </c>
      <c r="C12" s="7">
        <f>+Cal_Cult!AM12</f>
        <v>3.625</v>
      </c>
      <c r="D12" s="3"/>
      <c r="E12" s="3"/>
      <c r="F12" s="3"/>
      <c r="G12" s="3"/>
      <c r="H12" s="7">
        <f t="shared" si="0"/>
        <v>3.625</v>
      </c>
      <c r="I12" s="7">
        <f>+H12*Dados!I15</f>
        <v>17.804187500000001</v>
      </c>
      <c r="J12" s="7">
        <f>+H12*Dados!J15</f>
        <v>52.655300000000004</v>
      </c>
      <c r="K12" s="7">
        <f t="shared" si="1"/>
        <v>70.459487500000009</v>
      </c>
      <c r="L12" s="7">
        <f>+H12*Dados!I42</f>
        <v>222.01111111111106</v>
      </c>
      <c r="M12" s="7">
        <f>+H12*Dados!J42</f>
        <v>9.2219999999999995</v>
      </c>
      <c r="N12" s="3">
        <f t="shared" si="2"/>
        <v>231.23311111111107</v>
      </c>
      <c r="O12" s="3">
        <f t="shared" si="3"/>
        <v>301.69259861111107</v>
      </c>
    </row>
    <row r="13" spans="1:15" ht="25.2" customHeight="1" x14ac:dyDescent="0.25">
      <c r="A13" s="65" t="str">
        <f>+Cal_Cult!A13</f>
        <v>Mob.superf.</v>
      </c>
      <c r="B13" s="66" t="str">
        <f>+Cal_Cult!B13</f>
        <v>Vibrocultor+Tr2</v>
      </c>
      <c r="C13" s="7">
        <f>+Cal_Cult!AM13</f>
        <v>9.477124183006536</v>
      </c>
      <c r="D13" s="3"/>
      <c r="E13" s="3"/>
      <c r="F13" s="3"/>
      <c r="G13" s="3"/>
      <c r="H13" s="7">
        <f t="shared" si="0"/>
        <v>9.477124183006536</v>
      </c>
      <c r="I13" s="7">
        <f>+H13*Dados!I15</f>
        <v>46.546895424836606</v>
      </c>
      <c r="J13" s="7">
        <f>+H13*Dados!J15</f>
        <v>137.66091503267975</v>
      </c>
      <c r="K13" s="7">
        <f t="shared" si="1"/>
        <v>184.20781045751636</v>
      </c>
      <c r="L13" s="7">
        <f>+H13*Dados!I43</f>
        <v>205.9537037037037</v>
      </c>
      <c r="M13" s="7">
        <f>+H13*Dados!J43</f>
        <v>19.570261437908499</v>
      </c>
      <c r="N13" s="3">
        <f t="shared" si="2"/>
        <v>225.52396514161219</v>
      </c>
      <c r="O13" s="3">
        <f t="shared" si="3"/>
        <v>409.73177559912858</v>
      </c>
    </row>
    <row r="14" spans="1:15" ht="25.2" customHeight="1" x14ac:dyDescent="0.25">
      <c r="A14" s="65" t="str">
        <f>+Cal_Cult!A14</f>
        <v>Sementeira</v>
      </c>
      <c r="B14" s="65" t="str">
        <f>+Cal_Cult!B14</f>
        <v>Sem.Mon.+Tr1</v>
      </c>
      <c r="C14" s="7">
        <f>+Cal_Cult!AM14</f>
        <v>5.0347222222222223</v>
      </c>
      <c r="D14" s="3"/>
      <c r="E14" s="3"/>
      <c r="F14" s="3"/>
      <c r="G14" s="3"/>
      <c r="H14" s="7">
        <f t="shared" si="0"/>
        <v>5.0347222222222223</v>
      </c>
      <c r="I14" s="7">
        <f>+H14*Dados!I14</f>
        <v>28.514149305555556</v>
      </c>
      <c r="J14" s="7">
        <f>+H14*Dados!J14</f>
        <v>76.441046296296292</v>
      </c>
      <c r="K14" s="7">
        <f t="shared" si="1"/>
        <v>104.95519560185184</v>
      </c>
      <c r="L14" s="7">
        <f>+H14*Dados!I44</f>
        <v>773.49999999999989</v>
      </c>
      <c r="M14" s="7">
        <f>+H14*Dados!J44</f>
        <v>8.9869791666666661</v>
      </c>
      <c r="N14" s="3">
        <f t="shared" si="2"/>
        <v>782.48697916666652</v>
      </c>
      <c r="O14" s="3">
        <f t="shared" si="3"/>
        <v>887.44217476851838</v>
      </c>
    </row>
    <row r="15" spans="1:15" ht="25.2" customHeight="1" x14ac:dyDescent="0.25">
      <c r="A15" s="65" t="str">
        <f>+Cal_Cult!A15</f>
        <v>Abert. de regos</v>
      </c>
      <c r="B15" s="65" t="str">
        <f>+Cal_Cult!B15</f>
        <v>Derreg.+Tr1</v>
      </c>
      <c r="C15" s="7">
        <f>+Cal_Cult!AM15</f>
        <v>8.0555555555555554</v>
      </c>
      <c r="D15" s="3"/>
      <c r="E15" s="3"/>
      <c r="F15" s="3"/>
      <c r="G15" s="3"/>
      <c r="H15" s="7">
        <f t="shared" si="0"/>
        <v>8.0555555555555554</v>
      </c>
      <c r="I15" s="7">
        <f>+H15*Dados!I14</f>
        <v>45.622638888888886</v>
      </c>
      <c r="J15" s="7">
        <f>+H15*Dados!J14</f>
        <v>122.30567407407408</v>
      </c>
      <c r="K15" s="7">
        <f t="shared" si="1"/>
        <v>167.92831296296296</v>
      </c>
      <c r="L15" s="7">
        <f>+H15*Dados!I45</f>
        <v>77.494444444444426</v>
      </c>
      <c r="M15" s="7">
        <f>+H15*Dados!J45</f>
        <v>6.2591666666666672</v>
      </c>
      <c r="N15" s="3">
        <f t="shared" si="2"/>
        <v>83.753611111111098</v>
      </c>
      <c r="O15" s="3">
        <f t="shared" si="3"/>
        <v>251.68192407407406</v>
      </c>
    </row>
    <row r="16" spans="1:15" ht="25.2" customHeight="1" x14ac:dyDescent="0.25">
      <c r="A16" s="66" t="str">
        <f>+Cal_Cult!A16</f>
        <v>Rega</v>
      </c>
      <c r="B16" s="66" t="str">
        <f>+Cal_Cult!B16</f>
        <v>1 MO</v>
      </c>
      <c r="C16" s="7">
        <f>+Cal_Cult!AM16</f>
        <v>232</v>
      </c>
      <c r="D16" s="3">
        <f>+C16</f>
        <v>232</v>
      </c>
      <c r="E16" s="3">
        <f>+Dados!C85</f>
        <v>0</v>
      </c>
      <c r="F16" s="8">
        <v>0</v>
      </c>
      <c r="G16" s="3">
        <f>+F16*Dados!H59</f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f>+E16+G16</f>
        <v>0</v>
      </c>
    </row>
    <row r="17" spans="1:15" ht="25.2" customHeight="1" x14ac:dyDescent="0.25">
      <c r="A17" s="65" t="str">
        <f>+Cal_Cult!A17</f>
        <v>Colheita</v>
      </c>
      <c r="B17" s="65" t="str">
        <f>+Cal_Cult!B17</f>
        <v>Col.Milho+Tr1</v>
      </c>
      <c r="C17" s="7">
        <f>+Cal_Cult!AM17</f>
        <v>72.5</v>
      </c>
      <c r="D17" s="3"/>
      <c r="E17" s="3"/>
      <c r="F17" s="3"/>
      <c r="G17" s="3"/>
      <c r="H17" s="7">
        <f>+C17</f>
        <v>72.5</v>
      </c>
      <c r="I17" s="7">
        <f>+H17*Dados!I14</f>
        <v>410.60374999999999</v>
      </c>
      <c r="J17" s="7">
        <f>+H17*Dados!J14</f>
        <v>1100.7510666666667</v>
      </c>
      <c r="K17" s="7">
        <f>+I17+J17</f>
        <v>1511.3548166666667</v>
      </c>
      <c r="L17" s="7">
        <f>+H17*Dados!I46</f>
        <v>2649.4</v>
      </c>
      <c r="M17" s="7">
        <f>+H17*Dados!J46</f>
        <v>591.0200000000001</v>
      </c>
      <c r="N17" s="3">
        <f>+L17+M17</f>
        <v>3240.42</v>
      </c>
      <c r="O17" s="3">
        <f>+K17+N17</f>
        <v>4751.774816666667</v>
      </c>
    </row>
    <row r="18" spans="1:15" ht="25.2" customHeight="1" x14ac:dyDescent="0.25">
      <c r="A18" s="65" t="str">
        <f>+Cal_Cult!A18</f>
        <v>Reboque 
(colh X transp)</v>
      </c>
      <c r="B18" s="65" t="str">
        <f>+Cal_Cult!B18</f>
        <v>Semi-R.+Tr1</v>
      </c>
      <c r="C18" s="7">
        <f>+Cal_Cult!AM18</f>
        <v>36.25</v>
      </c>
      <c r="D18" s="3"/>
      <c r="E18" s="3"/>
      <c r="F18" s="3"/>
      <c r="G18" s="3"/>
      <c r="H18" s="7">
        <f>+C18</f>
        <v>36.25</v>
      </c>
      <c r="I18" s="7">
        <f>+H18*Dados!I14</f>
        <v>205.301875</v>
      </c>
      <c r="J18" s="7">
        <f>+H18*Dados!J15</f>
        <v>526.553</v>
      </c>
      <c r="K18" s="7">
        <f>+I18+J18</f>
        <v>731.85487499999999</v>
      </c>
      <c r="L18" s="7">
        <f>+H18*Dados!I47</f>
        <v>315.22650602409641</v>
      </c>
      <c r="M18" s="7">
        <f>+H18*Dados!J47</f>
        <v>37.736249999999998</v>
      </c>
      <c r="N18" s="3">
        <f>+L18+M18</f>
        <v>352.96275602409639</v>
      </c>
      <c r="O18" s="3">
        <f>+K18+N18</f>
        <v>1084.8176310240965</v>
      </c>
    </row>
    <row r="19" spans="1:15" ht="25.2" customHeight="1" x14ac:dyDescent="0.25">
      <c r="A19" s="65" t="str">
        <f>+Cal_Cult!A19</f>
        <v>Reboque 
(colh X transp)</v>
      </c>
      <c r="B19" s="65" t="str">
        <f>+Cal_Cult!B19</f>
        <v>Semi-R.+Tr2</v>
      </c>
      <c r="C19" s="7">
        <f>+Cal_Cult!AM19</f>
        <v>36.25</v>
      </c>
      <c r="D19" s="3"/>
      <c r="E19" s="3"/>
      <c r="F19" s="3"/>
      <c r="G19" s="3"/>
      <c r="H19" s="7">
        <f>+C19</f>
        <v>36.25</v>
      </c>
      <c r="I19" s="7">
        <f>+H19*Dados!I15</f>
        <v>178.041875</v>
      </c>
      <c r="J19" s="7">
        <f>+H19*Dados!J15</f>
        <v>526.553</v>
      </c>
      <c r="K19" s="7">
        <f>+I19+J19</f>
        <v>704.594875</v>
      </c>
      <c r="L19" s="7">
        <f>+H19*Dados!I48</f>
        <v>315.22650602409641</v>
      </c>
      <c r="M19" s="7">
        <f>+H19*Dados!J48</f>
        <v>37.736249999999998</v>
      </c>
      <c r="N19" s="3">
        <f>+L19+M19</f>
        <v>352.96275602409639</v>
      </c>
      <c r="O19" s="3">
        <f>+K19+N19</f>
        <v>1057.5576310240963</v>
      </c>
    </row>
    <row r="20" spans="1:15" ht="25.2" customHeight="1" x14ac:dyDescent="0.25">
      <c r="A20" s="65" t="str">
        <f>+Cal_Cult!A20</f>
        <v>Silo 
(calca/o)</v>
      </c>
      <c r="B20" s="65" t="str">
        <f>+Cal_Cult!B20</f>
        <v>Tr 3</v>
      </c>
      <c r="C20" s="7">
        <f>+Cal_Cult!AM20</f>
        <v>72.5</v>
      </c>
      <c r="D20" s="3"/>
      <c r="E20" s="3"/>
      <c r="F20" s="3"/>
      <c r="G20" s="3"/>
      <c r="H20" s="7">
        <f>+Dados!H2*Dados!J88</f>
        <v>72.5</v>
      </c>
      <c r="I20" s="7">
        <f>+H20*Dados!I16</f>
        <v>230.00625000000002</v>
      </c>
      <c r="J20" s="7">
        <f>+H20*Dados!J16</f>
        <v>942.8596</v>
      </c>
      <c r="K20" s="7">
        <f>+I20+J20</f>
        <v>1172.8658500000001</v>
      </c>
      <c r="L20" s="3">
        <v>0</v>
      </c>
      <c r="M20" s="3">
        <v>0</v>
      </c>
      <c r="N20" s="3">
        <f>+L20+M20</f>
        <v>0</v>
      </c>
      <c r="O20" s="3">
        <f>+K20+N20</f>
        <v>1172.8658500000001</v>
      </c>
    </row>
    <row r="21" spans="1:15" ht="25.2" customHeight="1" x14ac:dyDescent="0.25">
      <c r="A21" s="65" t="str">
        <f>+Cal_Cult!A21</f>
        <v>Silo MO</v>
      </c>
      <c r="B21" s="193">
        <f>+Dados!I89</f>
        <v>3</v>
      </c>
      <c r="C21" s="7">
        <f>+Cal_Cult!AM21</f>
        <v>217.5</v>
      </c>
      <c r="D21" s="3">
        <f>+C21</f>
        <v>217.5</v>
      </c>
      <c r="E21" s="3">
        <v>0</v>
      </c>
      <c r="F21" s="3">
        <v>0</v>
      </c>
      <c r="G21" s="3">
        <f>F21*Dados!H59</f>
        <v>0</v>
      </c>
      <c r="H21" s="7">
        <v>0</v>
      </c>
      <c r="I21" s="3">
        <v>0</v>
      </c>
      <c r="J21" s="3">
        <v>0</v>
      </c>
      <c r="K21" s="3">
        <f>+I21+J21</f>
        <v>0</v>
      </c>
      <c r="L21" s="3">
        <v>0</v>
      </c>
      <c r="M21" s="3">
        <v>0</v>
      </c>
      <c r="N21" s="3">
        <f>+L21+M21</f>
        <v>0</v>
      </c>
      <c r="O21" s="3">
        <f>+K21+N21</f>
        <v>0</v>
      </c>
    </row>
    <row r="22" spans="1:15" ht="25.2" customHeight="1" x14ac:dyDescent="0.25">
      <c r="A22" s="194" t="s">
        <v>44</v>
      </c>
      <c r="B22" s="65"/>
      <c r="C22" s="7">
        <f>+Cal_Cult!AM22</f>
        <v>525.72528691942853</v>
      </c>
      <c r="D22" s="3">
        <f t="shared" ref="D22:O22" si="4">SUM(D7:D21)</f>
        <v>449.5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293.72528691942853</v>
      </c>
      <c r="I22" s="3">
        <f t="shared" si="4"/>
        <v>1421.511884046507</v>
      </c>
      <c r="J22" s="3">
        <f t="shared" si="4"/>
        <v>4207.7024445359812</v>
      </c>
      <c r="K22" s="3">
        <f t="shared" si="4"/>
        <v>5629.2143285824886</v>
      </c>
      <c r="L22" s="3">
        <f t="shared" si="4"/>
        <v>5219.2955755335133</v>
      </c>
      <c r="M22" s="3">
        <f t="shared" si="4"/>
        <v>778.50463017709092</v>
      </c>
      <c r="N22" s="3">
        <f t="shared" si="4"/>
        <v>5997.8002057106032</v>
      </c>
      <c r="O22" s="3">
        <f t="shared" si="4"/>
        <v>11627.014534293092</v>
      </c>
    </row>
    <row r="23" spans="1:15" ht="25.2" customHeight="1" x14ac:dyDescent="0.25">
      <c r="A23" s="194" t="s">
        <v>45</v>
      </c>
      <c r="B23" s="65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</sheetData>
  <mergeCells count="1">
    <mergeCell ref="A1:B1"/>
  </mergeCell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pane ySplit="2" topLeftCell="A3" activePane="bottomLeft" state="frozen"/>
      <selection pane="bottomLeft" activeCell="J6" sqref="J6"/>
    </sheetView>
  </sheetViews>
  <sheetFormatPr defaultRowHeight="12.6" x14ac:dyDescent="0.25"/>
  <cols>
    <col min="1" max="1" width="18.5546875" customWidth="1"/>
    <col min="2" max="3" width="9.6640625" customWidth="1"/>
    <col min="5" max="5" width="10" customWidth="1"/>
    <col min="8" max="8" width="9.6640625" bestFit="1" customWidth="1"/>
    <col min="10" max="10" width="12.88671875" customWidth="1"/>
    <col min="11" max="11" width="14.33203125" customWidth="1"/>
  </cols>
  <sheetData>
    <row r="1" spans="1:13" ht="30" customHeight="1" x14ac:dyDescent="0.25">
      <c r="A1" s="220" t="s">
        <v>62</v>
      </c>
      <c r="B1" s="164" t="s">
        <v>28</v>
      </c>
      <c r="C1" s="164" t="s">
        <v>28</v>
      </c>
      <c r="D1" s="191" t="s">
        <v>63</v>
      </c>
      <c r="E1" s="191" t="s">
        <v>64</v>
      </c>
      <c r="F1" s="145" t="s">
        <v>29</v>
      </c>
      <c r="G1" s="164" t="s">
        <v>29</v>
      </c>
      <c r="H1" s="191" t="s">
        <v>65</v>
      </c>
      <c r="I1" s="164" t="s">
        <v>30</v>
      </c>
      <c r="J1" s="190" t="s">
        <v>682</v>
      </c>
      <c r="K1" s="191" t="s">
        <v>67</v>
      </c>
    </row>
    <row r="2" spans="1:13" ht="25.2" customHeight="1" x14ac:dyDescent="0.25">
      <c r="A2" s="204"/>
      <c r="B2" s="164" t="s">
        <v>49</v>
      </c>
      <c r="C2" s="164" t="s">
        <v>33</v>
      </c>
      <c r="D2" s="164" t="s">
        <v>46</v>
      </c>
      <c r="E2" s="164" t="s">
        <v>32</v>
      </c>
      <c r="F2" s="145" t="s">
        <v>55</v>
      </c>
      <c r="G2" s="164" t="s">
        <v>33</v>
      </c>
      <c r="H2" s="164" t="s">
        <v>47</v>
      </c>
      <c r="I2" s="164" t="s">
        <v>48</v>
      </c>
      <c r="J2" s="183" t="s">
        <v>699</v>
      </c>
      <c r="K2" s="164" t="s">
        <v>48</v>
      </c>
    </row>
    <row r="3" spans="1:13" ht="25.2" customHeight="1" x14ac:dyDescent="0.25">
      <c r="A3" s="2" t="str">
        <f>+Dados!A76</f>
        <v>Cálcareo
(kg)</v>
      </c>
      <c r="B3" s="10">
        <f>+Dados!H76</f>
        <v>7.4999999999999997E-2</v>
      </c>
      <c r="C3" s="4">
        <f>+Dados!I76</f>
        <v>1000</v>
      </c>
      <c r="D3" s="7">
        <f>+Dados!K76</f>
        <v>435</v>
      </c>
      <c r="E3" s="2" t="s">
        <v>80</v>
      </c>
      <c r="F3" s="9"/>
      <c r="G3" s="3"/>
      <c r="H3" s="3">
        <f>+Dados!L51*(Dados!L14/Dados!M51)</f>
        <v>695.64735851888065</v>
      </c>
      <c r="I3" s="3" t="s">
        <v>56</v>
      </c>
      <c r="J3" s="8" t="s">
        <v>680</v>
      </c>
      <c r="K3" s="183" t="s">
        <v>60</v>
      </c>
    </row>
    <row r="4" spans="1:13" ht="25.2" customHeight="1" x14ac:dyDescent="0.25">
      <c r="A4" s="2" t="str">
        <f>+Dados!A67</f>
        <v>Herbicida 
(L)</v>
      </c>
      <c r="B4" s="9">
        <f>+Dados!H67</f>
        <v>6</v>
      </c>
      <c r="C4" s="3">
        <f>+Dados!I67</f>
        <v>5</v>
      </c>
      <c r="D4" s="7">
        <f>+Dados!K67</f>
        <v>174</v>
      </c>
      <c r="E4" s="2" t="s">
        <v>81</v>
      </c>
      <c r="F4" s="9"/>
      <c r="G4" s="3"/>
      <c r="H4" s="3">
        <f>+Dados!L51*(Dados!L15/Dados!M52)</f>
        <v>869.30202289699071</v>
      </c>
      <c r="I4" s="3">
        <f>+Cto_MO_Mq!I22+Cto_MO_Mq!L22+H14</f>
        <v>8213.2568409958913</v>
      </c>
      <c r="J4" s="8">
        <f>+Dados!H2*Dados!H3*1000*(1-Dados!H5/100)</f>
        <v>232000</v>
      </c>
      <c r="K4" s="9">
        <f>+Dados!H11</f>
        <v>0</v>
      </c>
    </row>
    <row r="5" spans="1:13" ht="25.2" customHeight="1" x14ac:dyDescent="0.25">
      <c r="A5" s="2" t="str">
        <f>+Dados!A72</f>
        <v>Adubo 1 (N) 
(kg)</v>
      </c>
      <c r="B5" s="9">
        <f>+Dados!H72</f>
        <v>0.5</v>
      </c>
      <c r="C5" s="3">
        <f>+Dados!I72</f>
        <v>150</v>
      </c>
      <c r="D5" s="7">
        <f>+Dados!K72</f>
        <v>435</v>
      </c>
      <c r="F5" s="9"/>
      <c r="G5" s="3"/>
      <c r="H5" s="3"/>
      <c r="I5" s="3" t="s">
        <v>57</v>
      </c>
      <c r="J5" s="3" t="s">
        <v>681</v>
      </c>
      <c r="K5" s="164" t="s">
        <v>61</v>
      </c>
    </row>
    <row r="6" spans="1:13" ht="25.2" customHeight="1" x14ac:dyDescent="0.25">
      <c r="A6" s="5" t="str">
        <f>+Dados!A73</f>
        <v>Adubo 2 (K2O)
(kg)</v>
      </c>
      <c r="B6" s="9">
        <f>+Dados!H73</f>
        <v>0.2</v>
      </c>
      <c r="C6" s="3">
        <f>+Dados!I73</f>
        <v>100</v>
      </c>
      <c r="D6" s="7">
        <f>+Dados!K73</f>
        <v>116</v>
      </c>
      <c r="E6" s="5" t="s">
        <v>70</v>
      </c>
      <c r="F6" s="9"/>
      <c r="G6" s="3"/>
      <c r="H6" s="3"/>
      <c r="I6" s="3">
        <f>+Cto_MO_Mq!J22+Cto_MO_Mq!M22+D14</f>
        <v>8749.4404080464046</v>
      </c>
      <c r="J6" s="3">
        <f>J4*(1-Dados!H7/100)*Dados!H8</f>
        <v>121800</v>
      </c>
      <c r="K6" s="3">
        <f>+J4*Dados!H6+K4</f>
        <v>27840</v>
      </c>
    </row>
    <row r="7" spans="1:13" ht="25.2" customHeight="1" x14ac:dyDescent="0.25">
      <c r="A7" s="2" t="str">
        <f>+Dados!A64</f>
        <v>Sementes 1
(kg)</v>
      </c>
      <c r="B7" s="10">
        <f>+Dados!H64</f>
        <v>1.5</v>
      </c>
      <c r="C7" s="3">
        <f>+Dados!I64</f>
        <v>30</v>
      </c>
      <c r="D7" s="7">
        <f>+Dados!K64</f>
        <v>261</v>
      </c>
      <c r="E7" s="2" t="s">
        <v>59</v>
      </c>
      <c r="F7" s="9">
        <f>+Dados!H81</f>
        <v>0.25</v>
      </c>
      <c r="G7" s="3">
        <f>+Dados!I81</f>
        <v>60</v>
      </c>
      <c r="H7" s="3">
        <f>+Dados!K81</f>
        <v>7.5</v>
      </c>
      <c r="I7" s="3" t="s">
        <v>58</v>
      </c>
      <c r="J7" s="164" t="s">
        <v>676</v>
      </c>
      <c r="K7" s="164" t="s">
        <v>528</v>
      </c>
    </row>
    <row r="8" spans="1:13" ht="25.2" customHeight="1" x14ac:dyDescent="0.25">
      <c r="A8" s="2" t="str">
        <f>+Dados!A74</f>
        <v>Adubo 3 (N) 
(kg)</v>
      </c>
      <c r="B8" s="9">
        <f>+Dados!H74</f>
        <v>0.5</v>
      </c>
      <c r="C8" s="3">
        <f>+Dados!I74</f>
        <v>40</v>
      </c>
      <c r="D8" s="7">
        <f>+Dados!K74</f>
        <v>116</v>
      </c>
      <c r="E8" s="2"/>
      <c r="F8" s="9"/>
      <c r="G8" s="3"/>
      <c r="I8" s="3">
        <f>+I4+I6</f>
        <v>16962.697249042296</v>
      </c>
      <c r="J8" s="185">
        <f>+I8/J4</f>
        <v>7.3115074349320242E-2</v>
      </c>
      <c r="K8" s="3">
        <f>+K6-I6</f>
        <v>19090.559591953595</v>
      </c>
    </row>
    <row r="9" spans="1:13" ht="25.2" customHeight="1" x14ac:dyDescent="0.25">
      <c r="A9" s="5" t="str">
        <f>+Dados!A89</f>
        <v>Silo_MO (nº de pessoas)</v>
      </c>
      <c r="B9" s="9">
        <f>+Dados!H59</f>
        <v>5</v>
      </c>
      <c r="C9" s="3">
        <f>+Dados!I89</f>
        <v>3</v>
      </c>
      <c r="D9" s="7">
        <f>+Dados!M89</f>
        <v>1261.5</v>
      </c>
      <c r="E9" s="2" t="s">
        <v>685</v>
      </c>
      <c r="F9" s="9"/>
      <c r="G9" s="7"/>
      <c r="H9" s="9">
        <f>+Dados!K82</f>
        <v>0</v>
      </c>
      <c r="I9" s="3"/>
      <c r="J9" s="164" t="s">
        <v>50</v>
      </c>
      <c r="K9" s="184" t="s">
        <v>679</v>
      </c>
    </row>
    <row r="10" spans="1:13" ht="25.2" customHeight="1" x14ac:dyDescent="0.25">
      <c r="A10" s="2" t="s">
        <v>42</v>
      </c>
      <c r="B10" s="9">
        <f>+Dados!H90</f>
        <v>1.25</v>
      </c>
      <c r="C10" s="3">
        <f>+Dados!I90</f>
        <v>309.33333333333331</v>
      </c>
      <c r="D10" s="7">
        <f>+Dados!M90</f>
        <v>193.33333333333331</v>
      </c>
      <c r="J10" s="185">
        <f>+I8/J6</f>
        <v>0.13926680828441951</v>
      </c>
      <c r="K10" s="11">
        <f>+K6-I8</f>
        <v>10877.302750957704</v>
      </c>
    </row>
    <row r="11" spans="1:13" ht="25.2" customHeight="1" x14ac:dyDescent="0.25">
      <c r="A11" s="2" t="s">
        <v>43</v>
      </c>
      <c r="B11" s="9">
        <f>+Dados!H91</f>
        <v>0.04</v>
      </c>
      <c r="C11" s="3">
        <f>+Dados!I91</f>
        <v>1160</v>
      </c>
      <c r="D11" s="7">
        <f>+Dados!M91</f>
        <v>46.4</v>
      </c>
      <c r="E11" s="2" t="s">
        <v>686</v>
      </c>
      <c r="H11" s="9"/>
    </row>
    <row r="12" spans="1:13" ht="25.2" customHeight="1" x14ac:dyDescent="0.25">
      <c r="A12" s="180" t="s">
        <v>661</v>
      </c>
      <c r="B12" s="9">
        <f>+Dados!L33</f>
        <v>10</v>
      </c>
      <c r="C12" s="3">
        <f>+Cto_MO_Mq!C5</f>
        <v>72.5</v>
      </c>
      <c r="D12" s="3">
        <f>+B12*C12</f>
        <v>725</v>
      </c>
    </row>
    <row r="13" spans="1:13" ht="25.2" customHeight="1" x14ac:dyDescent="0.25">
      <c r="A13" s="2"/>
      <c r="B13" s="9"/>
      <c r="C13" s="9"/>
      <c r="D13" s="7"/>
    </row>
    <row r="14" spans="1:13" ht="25.2" customHeight="1" x14ac:dyDescent="0.25">
      <c r="A14" s="179" t="s">
        <v>30</v>
      </c>
      <c r="B14" s="164"/>
      <c r="C14" s="164"/>
      <c r="D14" s="164">
        <f>SUM(D3:D13)</f>
        <v>3763.2333333333336</v>
      </c>
      <c r="E14" s="157"/>
      <c r="F14" s="157"/>
      <c r="G14" s="157"/>
      <c r="H14" s="164">
        <f>SUM(H3:H13)</f>
        <v>1572.4493814158714</v>
      </c>
      <c r="I14" s="164">
        <f>+I8</f>
        <v>16962.697249042296</v>
      </c>
      <c r="M14" s="186"/>
    </row>
    <row r="15" spans="1:13" ht="25.2" customHeight="1" x14ac:dyDescent="0.25">
      <c r="A15" s="2"/>
      <c r="B15" s="3"/>
      <c r="C15" s="3"/>
      <c r="D15" s="3"/>
      <c r="K15" s="192"/>
    </row>
    <row r="16" spans="1:13" ht="25.2" customHeight="1" x14ac:dyDescent="0.25"/>
    <row r="17" ht="25.2" customHeight="1" x14ac:dyDescent="0.25"/>
  </sheetData>
  <mergeCells count="1">
    <mergeCell ref="A1:A2"/>
  </mergeCells>
  <printOptions horizontalCentered="1" gridLines="1"/>
  <pageMargins left="7.874015748031496E-2" right="7.874015748031496E-2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pane ySplit="5" topLeftCell="A6" activePane="bottomLeft" state="frozen"/>
      <selection pane="bottomLeft" activeCell="W19" sqref="W19"/>
    </sheetView>
  </sheetViews>
  <sheetFormatPr defaultRowHeight="13.2" x14ac:dyDescent="0.25"/>
  <cols>
    <col min="1" max="2" width="4.33203125" customWidth="1"/>
    <col min="3" max="3" width="10.33203125" customWidth="1"/>
    <col min="4" max="4" width="3.88671875" bestFit="1" customWidth="1"/>
    <col min="5" max="5" width="5.6640625" customWidth="1"/>
    <col min="6" max="6" width="6.44140625" customWidth="1"/>
    <col min="7" max="7" width="5.6640625" customWidth="1"/>
    <col min="8" max="8" width="5.88671875" customWidth="1"/>
    <col min="9" max="9" width="7.33203125" customWidth="1"/>
    <col min="10" max="10" width="6" bestFit="1" customWidth="1"/>
    <col min="11" max="11" width="9.5546875" bestFit="1" customWidth="1"/>
    <col min="12" max="12" width="7.33203125" bestFit="1" customWidth="1"/>
    <col min="13" max="13" width="9.109375" customWidth="1"/>
    <col min="14" max="14" width="8" bestFit="1" customWidth="1"/>
    <col min="15" max="15" width="9" bestFit="1" customWidth="1"/>
    <col min="16" max="16" width="7.88671875" style="146" bestFit="1" customWidth="1"/>
    <col min="17" max="17" width="6.5546875" bestFit="1" customWidth="1"/>
    <col min="18" max="18" width="6.6640625" bestFit="1" customWidth="1"/>
    <col min="19" max="19" width="6.33203125" bestFit="1" customWidth="1"/>
    <col min="20" max="20" width="8.6640625" bestFit="1" customWidth="1"/>
    <col min="21" max="21" width="8.33203125" bestFit="1" customWidth="1"/>
    <col min="22" max="22" width="6.6640625" style="38" customWidth="1"/>
  </cols>
  <sheetData>
    <row r="1" spans="1:21" x14ac:dyDescent="0.25">
      <c r="A1" s="223" t="s">
        <v>458</v>
      </c>
      <c r="B1" s="223" t="s">
        <v>97</v>
      </c>
      <c r="C1" s="221" t="s">
        <v>83</v>
      </c>
      <c r="D1" s="222"/>
      <c r="E1" s="222"/>
      <c r="F1" s="222"/>
      <c r="G1" s="222"/>
      <c r="H1" s="181"/>
      <c r="I1" s="19"/>
      <c r="J1" s="20"/>
      <c r="K1" s="20" t="s">
        <v>84</v>
      </c>
      <c r="L1" s="20" t="s">
        <v>85</v>
      </c>
      <c r="M1" s="20" t="s">
        <v>86</v>
      </c>
      <c r="N1" s="21" t="s">
        <v>87</v>
      </c>
      <c r="O1" s="21" t="s">
        <v>88</v>
      </c>
      <c r="P1" s="21" t="s">
        <v>89</v>
      </c>
      <c r="Q1" s="21" t="s">
        <v>90</v>
      </c>
      <c r="R1" s="20" t="s">
        <v>91</v>
      </c>
      <c r="S1" s="20" t="s">
        <v>92</v>
      </c>
      <c r="T1" s="20" t="s">
        <v>93</v>
      </c>
      <c r="U1" s="20" t="s">
        <v>94</v>
      </c>
    </row>
    <row r="2" spans="1:21" x14ac:dyDescent="0.25">
      <c r="A2" s="224"/>
      <c r="B2" s="225"/>
      <c r="C2" s="222"/>
      <c r="D2" s="222"/>
      <c r="E2" s="222"/>
      <c r="F2" s="222"/>
      <c r="G2" s="222"/>
      <c r="H2" s="181"/>
      <c r="I2" s="19"/>
      <c r="J2" s="20" t="s">
        <v>95</v>
      </c>
      <c r="K2" s="20">
        <v>3</v>
      </c>
      <c r="L2" s="20">
        <v>2</v>
      </c>
      <c r="M2" s="22">
        <v>0.1</v>
      </c>
      <c r="N2" s="21">
        <v>0.36</v>
      </c>
      <c r="O2" s="22">
        <v>2E-3</v>
      </c>
      <c r="P2" s="21">
        <v>2.74</v>
      </c>
      <c r="Q2" s="21">
        <v>1000</v>
      </c>
      <c r="R2" s="20">
        <v>3000</v>
      </c>
      <c r="S2" s="22">
        <v>0.01</v>
      </c>
      <c r="T2" s="20">
        <v>10</v>
      </c>
      <c r="U2" s="21">
        <v>10</v>
      </c>
    </row>
    <row r="3" spans="1:21" x14ac:dyDescent="0.25">
      <c r="A3" s="224"/>
      <c r="B3" s="225"/>
      <c r="C3" s="23"/>
      <c r="D3" s="20"/>
      <c r="E3" s="23"/>
      <c r="F3" s="24"/>
      <c r="G3" s="24"/>
      <c r="H3" s="24"/>
      <c r="I3" s="24"/>
      <c r="J3" s="137" t="s">
        <v>96</v>
      </c>
      <c r="K3" s="137">
        <v>5</v>
      </c>
      <c r="L3" s="137">
        <v>3</v>
      </c>
      <c r="M3" s="138">
        <v>0.1</v>
      </c>
      <c r="N3" s="139">
        <v>0.36</v>
      </c>
      <c r="O3" s="138">
        <v>2E-3</v>
      </c>
      <c r="P3" s="139">
        <v>2.74</v>
      </c>
      <c r="Q3" s="139">
        <v>1000</v>
      </c>
      <c r="R3" s="137">
        <v>3000</v>
      </c>
      <c r="S3" s="138">
        <v>0.01</v>
      </c>
      <c r="T3" s="137">
        <v>10</v>
      </c>
      <c r="U3" s="139">
        <v>9.11</v>
      </c>
    </row>
    <row r="4" spans="1:21" x14ac:dyDescent="0.25">
      <c r="A4" s="224"/>
      <c r="B4" s="225"/>
      <c r="C4" s="26" t="s">
        <v>98</v>
      </c>
      <c r="D4" s="26" t="s">
        <v>99</v>
      </c>
      <c r="E4" s="141" t="s">
        <v>100</v>
      </c>
      <c r="F4" s="27" t="s">
        <v>101</v>
      </c>
      <c r="G4" s="182" t="s">
        <v>662</v>
      </c>
      <c r="H4" s="27" t="s">
        <v>663</v>
      </c>
      <c r="I4" s="27" t="s">
        <v>102</v>
      </c>
      <c r="J4" s="26" t="s">
        <v>103</v>
      </c>
      <c r="K4" s="26" t="s">
        <v>104</v>
      </c>
      <c r="L4" s="26" t="s">
        <v>105</v>
      </c>
      <c r="M4" s="26" t="s">
        <v>106</v>
      </c>
      <c r="N4" s="28" t="s">
        <v>107</v>
      </c>
      <c r="O4" s="28" t="s">
        <v>108</v>
      </c>
      <c r="P4" s="28" t="s">
        <v>109</v>
      </c>
      <c r="Q4" s="28" t="s">
        <v>110</v>
      </c>
      <c r="R4" s="26" t="s">
        <v>111</v>
      </c>
      <c r="S4" s="26" t="s">
        <v>112</v>
      </c>
      <c r="T4" s="26" t="s">
        <v>113</v>
      </c>
      <c r="U4" s="26" t="s">
        <v>114</v>
      </c>
    </row>
    <row r="5" spans="1:21" x14ac:dyDescent="0.25">
      <c r="A5" s="224"/>
      <c r="B5" s="225"/>
      <c r="C5" s="26"/>
      <c r="D5" s="26" t="s">
        <v>115</v>
      </c>
      <c r="E5" s="141" t="s">
        <v>48</v>
      </c>
      <c r="F5" s="26" t="s">
        <v>48</v>
      </c>
      <c r="G5" s="141" t="s">
        <v>116</v>
      </c>
      <c r="H5" s="26" t="s">
        <v>116</v>
      </c>
      <c r="I5" s="26" t="s">
        <v>117</v>
      </c>
      <c r="J5" s="26" t="s">
        <v>118</v>
      </c>
      <c r="K5" s="26" t="s">
        <v>118</v>
      </c>
      <c r="L5" s="26" t="s">
        <v>118</v>
      </c>
      <c r="M5" s="26" t="s">
        <v>118</v>
      </c>
      <c r="N5" s="26" t="s">
        <v>118</v>
      </c>
      <c r="O5" s="26" t="s">
        <v>118</v>
      </c>
      <c r="P5" s="28" t="s">
        <v>118</v>
      </c>
      <c r="Q5" s="26" t="s">
        <v>118</v>
      </c>
      <c r="R5" s="26" t="s">
        <v>118</v>
      </c>
      <c r="S5" s="26" t="s">
        <v>118</v>
      </c>
      <c r="T5" s="26" t="s">
        <v>118</v>
      </c>
      <c r="U5" s="26" t="s">
        <v>118</v>
      </c>
    </row>
    <row r="6" spans="1:21" x14ac:dyDescent="0.25">
      <c r="A6" s="39">
        <v>1</v>
      </c>
      <c r="B6" s="18">
        <v>1</v>
      </c>
      <c r="C6" s="29" t="s">
        <v>119</v>
      </c>
      <c r="D6" s="18">
        <v>27</v>
      </c>
      <c r="E6" s="142">
        <v>13445</v>
      </c>
      <c r="F6" s="18">
        <v>13500</v>
      </c>
      <c r="G6" s="142">
        <v>10</v>
      </c>
      <c r="H6" s="18">
        <v>10</v>
      </c>
      <c r="I6" s="18">
        <v>500</v>
      </c>
      <c r="J6" s="30">
        <f>(F6*0.9)/(H6*I6)</f>
        <v>2.4300000000000002</v>
      </c>
      <c r="K6" s="30">
        <f>((F6*1.1)/(2*I6))*($K$2/100)</f>
        <v>0.44550000000000001</v>
      </c>
      <c r="L6" s="30">
        <f>((F6*1.1)/(2*I6)*($L$2/100))</f>
        <v>0.29700000000000004</v>
      </c>
      <c r="M6" s="31">
        <f>+J6+K6+L6</f>
        <v>3.1725000000000003</v>
      </c>
      <c r="N6" s="31">
        <f>+D6*$M$2*$N$2</f>
        <v>0.97199999999999998</v>
      </c>
      <c r="O6" s="31">
        <f>+D6*$O$2*$P$2</f>
        <v>0.14796000000000001</v>
      </c>
      <c r="P6" s="31">
        <f>+$Q$2/$R$2</f>
        <v>0.33333333333333331</v>
      </c>
      <c r="Q6" s="31">
        <f>+F6*($S$2/100)</f>
        <v>1.35</v>
      </c>
      <c r="R6" s="30">
        <f>+Q6*$T$2/100</f>
        <v>0.13500000000000001</v>
      </c>
      <c r="S6" s="18">
        <f>+$U$2</f>
        <v>10</v>
      </c>
      <c r="T6" s="31">
        <f>+N6+O6+P6+Q6+R6+S6</f>
        <v>12.938293333333334</v>
      </c>
      <c r="U6" s="31">
        <f>+M6+T6</f>
        <v>16.110793333333334</v>
      </c>
    </row>
    <row r="7" spans="1:21" x14ac:dyDescent="0.25">
      <c r="A7" s="39">
        <f>+A6+1</f>
        <v>2</v>
      </c>
      <c r="B7" s="18">
        <v>1</v>
      </c>
      <c r="C7" s="29" t="s">
        <v>119</v>
      </c>
      <c r="D7" s="18">
        <v>35</v>
      </c>
      <c r="E7" s="142">
        <v>16737</v>
      </c>
      <c r="F7" s="32">
        <v>16737</v>
      </c>
      <c r="G7" s="142">
        <v>10</v>
      </c>
      <c r="H7" s="18">
        <v>10</v>
      </c>
      <c r="I7" s="18">
        <v>500</v>
      </c>
      <c r="J7" s="30">
        <f t="shared" ref="J7:J45" si="0">(F7*0.9)/(H7*I7)</f>
        <v>3.0126600000000003</v>
      </c>
      <c r="K7" s="30">
        <f t="shared" ref="K7:K17" si="1">((F7*1.1)/(2*I7))*($K$2/100)</f>
        <v>0.55232100000000006</v>
      </c>
      <c r="L7" s="30">
        <f t="shared" ref="L7:L17" si="2">((F7*1.1)/(2*I7)*($L$2/100))</f>
        <v>0.36821400000000004</v>
      </c>
      <c r="M7" s="31">
        <f t="shared" ref="M7:M17" si="3">+J7+K7+L7</f>
        <v>3.9331950000000004</v>
      </c>
      <c r="N7" s="31">
        <f t="shared" ref="N7:N17" si="4">+D7*$M$2*$N$2</f>
        <v>1.26</v>
      </c>
      <c r="O7" s="31">
        <f t="shared" ref="O7:O17" si="5">+D7*$O$2*$P$2</f>
        <v>0.19180000000000003</v>
      </c>
      <c r="P7" s="31">
        <f t="shared" ref="P7:P17" si="6">+$Q$2/$R$2</f>
        <v>0.33333333333333331</v>
      </c>
      <c r="Q7" s="31">
        <f t="shared" ref="Q7:Q17" si="7">+F7*($S$2/100)</f>
        <v>1.6737000000000002</v>
      </c>
      <c r="R7" s="30">
        <f t="shared" ref="R7:R17" si="8">+Q7*$T$2/100</f>
        <v>0.16737000000000002</v>
      </c>
      <c r="S7" s="18">
        <f t="shared" ref="S7:S17" si="9">+$U$2</f>
        <v>10</v>
      </c>
      <c r="T7" s="31">
        <f t="shared" ref="T7:T17" si="10">+N7+O7+P7+Q7+R7+S7</f>
        <v>13.626203333333333</v>
      </c>
      <c r="U7" s="31">
        <f t="shared" ref="U7:U17" si="11">+M7+T7</f>
        <v>17.559398333333334</v>
      </c>
    </row>
    <row r="8" spans="1:21" x14ac:dyDescent="0.25">
      <c r="A8" s="39">
        <f t="shared" ref="A8:A45" si="12">+A7+1</f>
        <v>3</v>
      </c>
      <c r="B8" s="18">
        <v>1</v>
      </c>
      <c r="C8" s="29" t="s">
        <v>119</v>
      </c>
      <c r="D8" s="18">
        <v>45</v>
      </c>
      <c r="E8" s="142">
        <v>20804</v>
      </c>
      <c r="F8" s="32">
        <v>20900</v>
      </c>
      <c r="G8" s="142">
        <v>10</v>
      </c>
      <c r="H8" s="18">
        <v>10</v>
      </c>
      <c r="I8" s="18">
        <v>500</v>
      </c>
      <c r="J8" s="30">
        <f t="shared" si="0"/>
        <v>3.762</v>
      </c>
      <c r="K8" s="30">
        <f t="shared" si="1"/>
        <v>0.68969999999999998</v>
      </c>
      <c r="L8" s="30">
        <f t="shared" si="2"/>
        <v>0.45980000000000004</v>
      </c>
      <c r="M8" s="31">
        <f t="shared" si="3"/>
        <v>4.9115000000000002</v>
      </c>
      <c r="N8" s="31">
        <f t="shared" si="4"/>
        <v>1.6199999999999999</v>
      </c>
      <c r="O8" s="31">
        <f t="shared" si="5"/>
        <v>0.24660000000000001</v>
      </c>
      <c r="P8" s="31">
        <f t="shared" si="6"/>
        <v>0.33333333333333331</v>
      </c>
      <c r="Q8" s="31">
        <f t="shared" si="7"/>
        <v>2.0900000000000003</v>
      </c>
      <c r="R8" s="30">
        <f t="shared" si="8"/>
        <v>0.20900000000000002</v>
      </c>
      <c r="S8" s="18">
        <f t="shared" si="9"/>
        <v>10</v>
      </c>
      <c r="T8" s="31">
        <f t="shared" si="10"/>
        <v>14.498933333333333</v>
      </c>
      <c r="U8" s="31">
        <f t="shared" si="11"/>
        <v>19.410433333333334</v>
      </c>
    </row>
    <row r="9" spans="1:21" x14ac:dyDescent="0.25">
      <c r="A9" s="39">
        <f t="shared" si="12"/>
        <v>4</v>
      </c>
      <c r="B9" s="18">
        <v>1</v>
      </c>
      <c r="C9" s="29" t="s">
        <v>119</v>
      </c>
      <c r="D9" s="18">
        <v>53</v>
      </c>
      <c r="E9" s="142">
        <v>24096</v>
      </c>
      <c r="F9" s="32">
        <v>24100</v>
      </c>
      <c r="G9" s="142">
        <v>10</v>
      </c>
      <c r="H9" s="18">
        <v>10</v>
      </c>
      <c r="I9" s="18">
        <v>500</v>
      </c>
      <c r="J9" s="30">
        <f t="shared" si="0"/>
        <v>4.3380000000000001</v>
      </c>
      <c r="K9" s="30">
        <f t="shared" si="1"/>
        <v>0.79530000000000012</v>
      </c>
      <c r="L9" s="30">
        <f t="shared" si="2"/>
        <v>0.53020000000000012</v>
      </c>
      <c r="M9" s="31">
        <f t="shared" si="3"/>
        <v>5.6635</v>
      </c>
      <c r="N9" s="31">
        <f t="shared" si="4"/>
        <v>1.9080000000000001</v>
      </c>
      <c r="O9" s="31">
        <f t="shared" si="5"/>
        <v>0.29044000000000003</v>
      </c>
      <c r="P9" s="31">
        <f t="shared" si="6"/>
        <v>0.33333333333333331</v>
      </c>
      <c r="Q9" s="31">
        <f t="shared" si="7"/>
        <v>2.41</v>
      </c>
      <c r="R9" s="30">
        <f t="shared" si="8"/>
        <v>0.24100000000000002</v>
      </c>
      <c r="S9" s="18">
        <f t="shared" si="9"/>
        <v>10</v>
      </c>
      <c r="T9" s="31">
        <f t="shared" si="10"/>
        <v>15.182773333333333</v>
      </c>
      <c r="U9" s="31">
        <f t="shared" si="11"/>
        <v>20.846273333333333</v>
      </c>
    </row>
    <row r="10" spans="1:21" x14ac:dyDescent="0.25">
      <c r="A10" s="39">
        <f t="shared" si="12"/>
        <v>5</v>
      </c>
      <c r="B10" s="18">
        <v>1</v>
      </c>
      <c r="C10" s="29" t="s">
        <v>119</v>
      </c>
      <c r="D10" s="18">
        <v>60</v>
      </c>
      <c r="E10" s="142">
        <v>26952</v>
      </c>
      <c r="F10" s="32">
        <v>26952</v>
      </c>
      <c r="G10" s="142">
        <v>10</v>
      </c>
      <c r="H10" s="18">
        <v>10</v>
      </c>
      <c r="I10" s="18">
        <v>500</v>
      </c>
      <c r="J10" s="30">
        <f t="shared" si="0"/>
        <v>4.8513599999999997</v>
      </c>
      <c r="K10" s="30">
        <f t="shared" si="1"/>
        <v>0.88941599999999998</v>
      </c>
      <c r="L10" s="30">
        <f t="shared" si="2"/>
        <v>0.59294400000000003</v>
      </c>
      <c r="M10" s="31">
        <f t="shared" si="3"/>
        <v>6.3337199999999996</v>
      </c>
      <c r="N10" s="31">
        <f t="shared" si="4"/>
        <v>2.16</v>
      </c>
      <c r="O10" s="31">
        <f t="shared" si="5"/>
        <v>0.32880000000000004</v>
      </c>
      <c r="P10" s="31">
        <f t="shared" si="6"/>
        <v>0.33333333333333331</v>
      </c>
      <c r="Q10" s="31">
        <f t="shared" si="7"/>
        <v>2.6952000000000003</v>
      </c>
      <c r="R10" s="30">
        <f t="shared" si="8"/>
        <v>0.26952000000000004</v>
      </c>
      <c r="S10" s="18">
        <f t="shared" si="9"/>
        <v>10</v>
      </c>
      <c r="T10" s="31">
        <f t="shared" si="10"/>
        <v>15.786853333333333</v>
      </c>
      <c r="U10" s="31">
        <f t="shared" si="11"/>
        <v>22.120573333333333</v>
      </c>
    </row>
    <row r="11" spans="1:21" x14ac:dyDescent="0.25">
      <c r="A11" s="39">
        <f t="shared" si="12"/>
        <v>6</v>
      </c>
      <c r="B11" s="18">
        <v>1</v>
      </c>
      <c r="C11" s="29" t="s">
        <v>119</v>
      </c>
      <c r="D11" s="18">
        <v>70</v>
      </c>
      <c r="E11" s="142">
        <v>31051</v>
      </c>
      <c r="F11" s="32">
        <v>31051</v>
      </c>
      <c r="G11" s="142">
        <v>10</v>
      </c>
      <c r="H11" s="18">
        <v>10</v>
      </c>
      <c r="I11" s="18">
        <v>500</v>
      </c>
      <c r="J11" s="30">
        <f t="shared" si="0"/>
        <v>5.5891800000000007</v>
      </c>
      <c r="K11" s="30">
        <f t="shared" si="1"/>
        <v>1.0246830000000002</v>
      </c>
      <c r="L11" s="30">
        <f t="shared" si="2"/>
        <v>0.68312200000000023</v>
      </c>
      <c r="M11" s="31">
        <f t="shared" si="3"/>
        <v>7.2969850000000012</v>
      </c>
      <c r="N11" s="31">
        <f t="shared" si="4"/>
        <v>2.52</v>
      </c>
      <c r="O11" s="31">
        <f t="shared" si="5"/>
        <v>0.38360000000000005</v>
      </c>
      <c r="P11" s="31">
        <f t="shared" si="6"/>
        <v>0.33333333333333331</v>
      </c>
      <c r="Q11" s="31">
        <f t="shared" si="7"/>
        <v>3.1051000000000002</v>
      </c>
      <c r="R11" s="30">
        <f t="shared" si="8"/>
        <v>0.31051000000000001</v>
      </c>
      <c r="S11" s="18">
        <f t="shared" si="9"/>
        <v>10</v>
      </c>
      <c r="T11" s="31">
        <f t="shared" si="10"/>
        <v>16.652543333333334</v>
      </c>
      <c r="U11" s="31">
        <f t="shared" si="11"/>
        <v>23.949528333333333</v>
      </c>
    </row>
    <row r="12" spans="1:21" x14ac:dyDescent="0.25">
      <c r="A12" s="39">
        <f t="shared" si="12"/>
        <v>7</v>
      </c>
      <c r="B12" s="18">
        <v>1</v>
      </c>
      <c r="C12" s="29" t="s">
        <v>119</v>
      </c>
      <c r="D12" s="18">
        <v>80</v>
      </c>
      <c r="E12" s="142">
        <v>35088</v>
      </c>
      <c r="F12" s="32">
        <v>35088</v>
      </c>
      <c r="G12" s="142">
        <v>10</v>
      </c>
      <c r="H12" s="18">
        <v>10</v>
      </c>
      <c r="I12" s="18">
        <v>500</v>
      </c>
      <c r="J12" s="30">
        <f t="shared" si="0"/>
        <v>6.3158400000000006</v>
      </c>
      <c r="K12" s="30">
        <f t="shared" si="1"/>
        <v>1.157904</v>
      </c>
      <c r="L12" s="30">
        <f t="shared" si="2"/>
        <v>0.77193600000000007</v>
      </c>
      <c r="M12" s="31">
        <f t="shared" si="3"/>
        <v>8.2456800000000001</v>
      </c>
      <c r="N12" s="31">
        <f t="shared" si="4"/>
        <v>2.88</v>
      </c>
      <c r="O12" s="31">
        <f t="shared" si="5"/>
        <v>0.43840000000000007</v>
      </c>
      <c r="P12" s="31">
        <f t="shared" si="6"/>
        <v>0.33333333333333331</v>
      </c>
      <c r="Q12" s="31">
        <f t="shared" si="7"/>
        <v>3.5088000000000004</v>
      </c>
      <c r="R12" s="30">
        <f t="shared" si="8"/>
        <v>0.35088000000000003</v>
      </c>
      <c r="S12" s="18">
        <f t="shared" si="9"/>
        <v>10</v>
      </c>
      <c r="T12" s="31">
        <f t="shared" si="10"/>
        <v>17.511413333333333</v>
      </c>
      <c r="U12" s="31">
        <f t="shared" si="11"/>
        <v>25.757093333333334</v>
      </c>
    </row>
    <row r="13" spans="1:21" x14ac:dyDescent="0.25">
      <c r="A13" s="39">
        <f t="shared" si="12"/>
        <v>8</v>
      </c>
      <c r="B13" s="18">
        <v>1</v>
      </c>
      <c r="C13" s="29" t="s">
        <v>119</v>
      </c>
      <c r="D13" s="18">
        <v>90</v>
      </c>
      <c r="E13" s="142">
        <v>29124</v>
      </c>
      <c r="F13" s="32">
        <v>29124</v>
      </c>
      <c r="G13" s="142">
        <v>10</v>
      </c>
      <c r="H13" s="18">
        <v>10</v>
      </c>
      <c r="I13" s="18">
        <v>500</v>
      </c>
      <c r="J13" s="30">
        <f t="shared" si="0"/>
        <v>5.2423200000000003</v>
      </c>
      <c r="K13" s="30">
        <f t="shared" si="1"/>
        <v>0.96109199999999995</v>
      </c>
      <c r="L13" s="30">
        <f t="shared" si="2"/>
        <v>0.64072800000000008</v>
      </c>
      <c r="M13" s="31">
        <f t="shared" si="3"/>
        <v>6.8441400000000003</v>
      </c>
      <c r="N13" s="31">
        <f t="shared" si="4"/>
        <v>3.2399999999999998</v>
      </c>
      <c r="O13" s="31">
        <f t="shared" si="5"/>
        <v>0.49320000000000003</v>
      </c>
      <c r="P13" s="31">
        <f t="shared" si="6"/>
        <v>0.33333333333333331</v>
      </c>
      <c r="Q13" s="31">
        <f t="shared" si="7"/>
        <v>2.9124000000000003</v>
      </c>
      <c r="R13" s="30">
        <f t="shared" si="8"/>
        <v>0.29124</v>
      </c>
      <c r="S13" s="18">
        <f t="shared" si="9"/>
        <v>10</v>
      </c>
      <c r="T13" s="31">
        <f t="shared" si="10"/>
        <v>17.270173333333332</v>
      </c>
      <c r="U13" s="31">
        <f t="shared" si="11"/>
        <v>24.114313333333332</v>
      </c>
    </row>
    <row r="14" spans="1:21" x14ac:dyDescent="0.25">
      <c r="A14" s="39">
        <f t="shared" si="12"/>
        <v>9</v>
      </c>
      <c r="B14" s="18">
        <v>1</v>
      </c>
      <c r="C14" s="29" t="s">
        <v>119</v>
      </c>
      <c r="D14" s="18">
        <v>105</v>
      </c>
      <c r="E14" s="142">
        <v>45335</v>
      </c>
      <c r="F14" s="32">
        <v>45335</v>
      </c>
      <c r="G14" s="142">
        <v>10</v>
      </c>
      <c r="H14" s="18">
        <v>10</v>
      </c>
      <c r="I14" s="18">
        <v>500</v>
      </c>
      <c r="J14" s="30">
        <f t="shared" si="0"/>
        <v>8.1602999999999994</v>
      </c>
      <c r="K14" s="30">
        <f t="shared" si="1"/>
        <v>1.4960550000000001</v>
      </c>
      <c r="L14" s="30">
        <f t="shared" si="2"/>
        <v>0.99737000000000009</v>
      </c>
      <c r="M14" s="31">
        <f t="shared" si="3"/>
        <v>10.653725</v>
      </c>
      <c r="N14" s="31">
        <f t="shared" si="4"/>
        <v>3.78</v>
      </c>
      <c r="O14" s="31">
        <f t="shared" si="5"/>
        <v>0.57540000000000002</v>
      </c>
      <c r="P14" s="31">
        <f t="shared" si="6"/>
        <v>0.33333333333333331</v>
      </c>
      <c r="Q14" s="31">
        <f t="shared" si="7"/>
        <v>4.5335000000000001</v>
      </c>
      <c r="R14" s="30">
        <f t="shared" si="8"/>
        <v>0.45335000000000003</v>
      </c>
      <c r="S14" s="18">
        <f t="shared" si="9"/>
        <v>10</v>
      </c>
      <c r="T14" s="31">
        <f t="shared" si="10"/>
        <v>19.675583333333332</v>
      </c>
      <c r="U14" s="31">
        <f t="shared" si="11"/>
        <v>30.32930833333333</v>
      </c>
    </row>
    <row r="15" spans="1:21" x14ac:dyDescent="0.25">
      <c r="A15" s="39">
        <f t="shared" si="12"/>
        <v>10</v>
      </c>
      <c r="B15" s="18">
        <v>1</v>
      </c>
      <c r="C15" s="29" t="s">
        <v>119</v>
      </c>
      <c r="D15" s="18">
        <v>120</v>
      </c>
      <c r="E15" s="142">
        <v>51545</v>
      </c>
      <c r="F15" s="32">
        <v>51545</v>
      </c>
      <c r="G15" s="142">
        <v>10</v>
      </c>
      <c r="H15" s="18">
        <v>10</v>
      </c>
      <c r="I15" s="18">
        <v>500</v>
      </c>
      <c r="J15" s="30">
        <f t="shared" si="0"/>
        <v>9.2781000000000002</v>
      </c>
      <c r="K15" s="30">
        <f t="shared" si="1"/>
        <v>1.7009850000000002</v>
      </c>
      <c r="L15" s="30">
        <f t="shared" si="2"/>
        <v>1.1339900000000003</v>
      </c>
      <c r="M15" s="31">
        <f t="shared" si="3"/>
        <v>12.113075000000002</v>
      </c>
      <c r="N15" s="31">
        <f t="shared" si="4"/>
        <v>4.32</v>
      </c>
      <c r="O15" s="31">
        <f t="shared" si="5"/>
        <v>0.65760000000000007</v>
      </c>
      <c r="P15" s="31">
        <f t="shared" si="6"/>
        <v>0.33333333333333331</v>
      </c>
      <c r="Q15" s="31">
        <f t="shared" si="7"/>
        <v>5.1545000000000005</v>
      </c>
      <c r="R15" s="30">
        <f t="shared" si="8"/>
        <v>0.51544999999999996</v>
      </c>
      <c r="S15" s="18">
        <f t="shared" si="9"/>
        <v>10</v>
      </c>
      <c r="T15" s="31">
        <f t="shared" si="10"/>
        <v>20.980883333333331</v>
      </c>
      <c r="U15" s="31">
        <f t="shared" si="11"/>
        <v>33.093958333333333</v>
      </c>
    </row>
    <row r="16" spans="1:21" x14ac:dyDescent="0.25">
      <c r="A16" s="39">
        <f t="shared" si="12"/>
        <v>11</v>
      </c>
      <c r="B16" s="18">
        <v>1</v>
      </c>
      <c r="C16" s="29" t="s">
        <v>119</v>
      </c>
      <c r="D16" s="18">
        <v>140</v>
      </c>
      <c r="E16" s="142">
        <v>59618</v>
      </c>
      <c r="F16" s="32">
        <v>59618</v>
      </c>
      <c r="G16" s="142">
        <v>10</v>
      </c>
      <c r="H16" s="18">
        <v>10</v>
      </c>
      <c r="I16" s="18">
        <v>500</v>
      </c>
      <c r="J16" s="30">
        <f t="shared" si="0"/>
        <v>10.731240000000001</v>
      </c>
      <c r="K16" s="30">
        <f t="shared" si="1"/>
        <v>1.9673940000000001</v>
      </c>
      <c r="L16" s="30">
        <f t="shared" si="2"/>
        <v>1.3115960000000002</v>
      </c>
      <c r="M16" s="31">
        <f t="shared" si="3"/>
        <v>14.010230000000002</v>
      </c>
      <c r="N16" s="31">
        <f t="shared" si="4"/>
        <v>5.04</v>
      </c>
      <c r="O16" s="31">
        <f t="shared" si="5"/>
        <v>0.7672000000000001</v>
      </c>
      <c r="P16" s="31">
        <f t="shared" si="6"/>
        <v>0.33333333333333331</v>
      </c>
      <c r="Q16" s="31">
        <f t="shared" si="7"/>
        <v>5.9618000000000002</v>
      </c>
      <c r="R16" s="30">
        <f t="shared" si="8"/>
        <v>0.59618000000000004</v>
      </c>
      <c r="S16" s="18">
        <f t="shared" si="9"/>
        <v>10</v>
      </c>
      <c r="T16" s="31">
        <f t="shared" si="10"/>
        <v>22.698513333333334</v>
      </c>
      <c r="U16" s="31">
        <f t="shared" si="11"/>
        <v>36.708743333333338</v>
      </c>
    </row>
    <row r="17" spans="1:21" x14ac:dyDescent="0.25">
      <c r="A17" s="39">
        <f t="shared" si="12"/>
        <v>12</v>
      </c>
      <c r="B17" s="18">
        <v>1</v>
      </c>
      <c r="C17" s="29" t="s">
        <v>119</v>
      </c>
      <c r="D17" s="18">
        <v>160</v>
      </c>
      <c r="E17" s="142">
        <v>68002</v>
      </c>
      <c r="F17" s="32">
        <v>68002</v>
      </c>
      <c r="G17" s="142">
        <v>10</v>
      </c>
      <c r="H17" s="18">
        <v>10</v>
      </c>
      <c r="I17" s="18">
        <v>500</v>
      </c>
      <c r="J17" s="30">
        <f t="shared" si="0"/>
        <v>12.240360000000001</v>
      </c>
      <c r="K17" s="30">
        <f t="shared" si="1"/>
        <v>2.2440660000000001</v>
      </c>
      <c r="L17" s="30">
        <f t="shared" si="2"/>
        <v>1.4960440000000004</v>
      </c>
      <c r="M17" s="31">
        <f t="shared" si="3"/>
        <v>15.98047</v>
      </c>
      <c r="N17" s="31">
        <f t="shared" si="4"/>
        <v>5.76</v>
      </c>
      <c r="O17" s="31">
        <f t="shared" si="5"/>
        <v>0.87680000000000013</v>
      </c>
      <c r="P17" s="31">
        <f t="shared" si="6"/>
        <v>0.33333333333333331</v>
      </c>
      <c r="Q17" s="31">
        <f t="shared" si="7"/>
        <v>6.8002000000000002</v>
      </c>
      <c r="R17" s="30">
        <f t="shared" si="8"/>
        <v>0.68002000000000007</v>
      </c>
      <c r="S17" s="18">
        <f t="shared" si="9"/>
        <v>10</v>
      </c>
      <c r="T17" s="31">
        <f t="shared" si="10"/>
        <v>24.450353333333332</v>
      </c>
      <c r="U17" s="31">
        <f t="shared" si="11"/>
        <v>40.430823333333336</v>
      </c>
    </row>
    <row r="18" spans="1:21" x14ac:dyDescent="0.25">
      <c r="A18" s="39">
        <f t="shared" si="12"/>
        <v>13</v>
      </c>
      <c r="B18" s="18">
        <v>2</v>
      </c>
      <c r="C18" s="29" t="s">
        <v>120</v>
      </c>
      <c r="D18" s="18">
        <v>18</v>
      </c>
      <c r="E18" s="142">
        <v>11471</v>
      </c>
      <c r="F18" s="32">
        <v>11471</v>
      </c>
      <c r="G18" s="142">
        <v>10</v>
      </c>
      <c r="H18" s="18">
        <v>10</v>
      </c>
      <c r="I18" s="18">
        <v>500</v>
      </c>
      <c r="J18" s="30">
        <f t="shared" si="0"/>
        <v>2.0647799999999998</v>
      </c>
      <c r="K18" s="30">
        <f t="shared" ref="K18:K35" si="13">((F18*1.1)/(2*I18))*($K$2/100)</f>
        <v>0.37854299999999996</v>
      </c>
      <c r="L18" s="30">
        <f t="shared" ref="L18:L35" si="14">((F18*1.1)/(2*I18)*($L$2/100))</f>
        <v>0.25236200000000003</v>
      </c>
      <c r="M18" s="31">
        <f t="shared" ref="M18:M35" si="15">+J18+K18+L18</f>
        <v>2.6956850000000001</v>
      </c>
      <c r="N18" s="31">
        <f t="shared" ref="N18:N35" si="16">+D18*$M$2*$N$2</f>
        <v>0.64800000000000002</v>
      </c>
      <c r="O18" s="31">
        <f t="shared" ref="O18:O35" si="17">+D18*$O$2*$P$2</f>
        <v>9.8640000000000019E-2</v>
      </c>
      <c r="P18" s="31">
        <f t="shared" ref="P18:P35" si="18">+$Q$2/$R$2</f>
        <v>0.33333333333333331</v>
      </c>
      <c r="Q18" s="31">
        <f t="shared" ref="Q18:Q35" si="19">+F18*($S$2/100)</f>
        <v>1.1471</v>
      </c>
      <c r="R18" s="30">
        <f t="shared" ref="R18:R35" si="20">+Q18*$T$2/100</f>
        <v>0.11471000000000001</v>
      </c>
      <c r="S18" s="18">
        <f t="shared" ref="S18:S35" si="21">+$U$2</f>
        <v>10</v>
      </c>
      <c r="T18" s="31">
        <f t="shared" ref="T18:T35" si="22">+N18+O18+P18+Q18+R18+S18</f>
        <v>12.341783333333334</v>
      </c>
      <c r="U18" s="31">
        <f t="shared" ref="U18:U35" si="23">+M18+T18</f>
        <v>15.037468333333333</v>
      </c>
    </row>
    <row r="19" spans="1:21" x14ac:dyDescent="0.25">
      <c r="A19" s="39">
        <f t="shared" si="12"/>
        <v>14</v>
      </c>
      <c r="B19" s="18">
        <v>2</v>
      </c>
      <c r="C19" s="29" t="s">
        <v>120</v>
      </c>
      <c r="D19" s="18">
        <v>27</v>
      </c>
      <c r="E19" s="142">
        <v>15818</v>
      </c>
      <c r="F19" s="32">
        <v>15818</v>
      </c>
      <c r="G19" s="142">
        <v>10</v>
      </c>
      <c r="H19" s="18">
        <v>10</v>
      </c>
      <c r="I19" s="18">
        <v>500</v>
      </c>
      <c r="J19" s="30">
        <f t="shared" si="0"/>
        <v>2.8472400000000002</v>
      </c>
      <c r="K19" s="30">
        <f t="shared" si="13"/>
        <v>0.52199400000000007</v>
      </c>
      <c r="L19" s="30">
        <f t="shared" si="14"/>
        <v>0.34799600000000008</v>
      </c>
      <c r="M19" s="31">
        <f t="shared" si="15"/>
        <v>3.7172300000000007</v>
      </c>
      <c r="N19" s="31">
        <f t="shared" si="16"/>
        <v>0.97199999999999998</v>
      </c>
      <c r="O19" s="31">
        <f t="shared" si="17"/>
        <v>0.14796000000000001</v>
      </c>
      <c r="P19" s="31">
        <f t="shared" si="18"/>
        <v>0.33333333333333331</v>
      </c>
      <c r="Q19" s="31">
        <f t="shared" si="19"/>
        <v>1.5818000000000001</v>
      </c>
      <c r="R19" s="30">
        <f t="shared" si="20"/>
        <v>0.15818000000000002</v>
      </c>
      <c r="S19" s="18">
        <f t="shared" si="21"/>
        <v>10</v>
      </c>
      <c r="T19" s="31">
        <f t="shared" si="22"/>
        <v>13.193273333333334</v>
      </c>
      <c r="U19" s="31">
        <f t="shared" si="23"/>
        <v>16.910503333333335</v>
      </c>
    </row>
    <row r="20" spans="1:21" x14ac:dyDescent="0.25">
      <c r="A20" s="39">
        <f t="shared" si="12"/>
        <v>15</v>
      </c>
      <c r="B20" s="18">
        <v>2</v>
      </c>
      <c r="C20" s="29" t="s">
        <v>120</v>
      </c>
      <c r="D20" s="18">
        <v>35</v>
      </c>
      <c r="E20" s="142">
        <v>19690</v>
      </c>
      <c r="F20" s="32">
        <v>19690</v>
      </c>
      <c r="G20" s="142">
        <v>10</v>
      </c>
      <c r="H20" s="18">
        <v>10</v>
      </c>
      <c r="I20" s="18">
        <v>500</v>
      </c>
      <c r="J20" s="30">
        <f t="shared" si="0"/>
        <v>3.5442</v>
      </c>
      <c r="K20" s="30">
        <f t="shared" si="13"/>
        <v>0.64976999999999996</v>
      </c>
      <c r="L20" s="30">
        <f t="shared" si="14"/>
        <v>0.43318000000000001</v>
      </c>
      <c r="M20" s="31">
        <f t="shared" si="15"/>
        <v>4.6271500000000003</v>
      </c>
      <c r="N20" s="31">
        <f t="shared" si="16"/>
        <v>1.26</v>
      </c>
      <c r="O20" s="31">
        <f t="shared" si="17"/>
        <v>0.19180000000000003</v>
      </c>
      <c r="P20" s="31">
        <f t="shared" si="18"/>
        <v>0.33333333333333331</v>
      </c>
      <c r="Q20" s="31">
        <f t="shared" si="19"/>
        <v>1.9690000000000001</v>
      </c>
      <c r="R20" s="30">
        <f t="shared" si="20"/>
        <v>0.19690000000000002</v>
      </c>
      <c r="S20" s="18">
        <f t="shared" si="21"/>
        <v>10</v>
      </c>
      <c r="T20" s="31">
        <f t="shared" si="22"/>
        <v>13.951033333333333</v>
      </c>
      <c r="U20" s="31">
        <f t="shared" si="23"/>
        <v>18.578183333333335</v>
      </c>
    </row>
    <row r="21" spans="1:21" x14ac:dyDescent="0.25">
      <c r="A21" s="39">
        <f t="shared" si="12"/>
        <v>16</v>
      </c>
      <c r="B21" s="18">
        <v>2</v>
      </c>
      <c r="C21" s="29" t="s">
        <v>120</v>
      </c>
      <c r="D21" s="18">
        <v>45</v>
      </c>
      <c r="E21" s="142">
        <v>24476</v>
      </c>
      <c r="F21" s="32">
        <v>24476</v>
      </c>
      <c r="G21" s="142">
        <v>10</v>
      </c>
      <c r="H21" s="18">
        <v>10</v>
      </c>
      <c r="I21" s="18">
        <v>500</v>
      </c>
      <c r="J21" s="30">
        <f t="shared" si="0"/>
        <v>4.4056800000000003</v>
      </c>
      <c r="K21" s="30">
        <f t="shared" si="13"/>
        <v>0.80770799999999998</v>
      </c>
      <c r="L21" s="30">
        <f t="shared" si="14"/>
        <v>0.53847200000000006</v>
      </c>
      <c r="M21" s="31">
        <f t="shared" si="15"/>
        <v>5.7518600000000006</v>
      </c>
      <c r="N21" s="31">
        <f t="shared" si="16"/>
        <v>1.6199999999999999</v>
      </c>
      <c r="O21" s="31">
        <f t="shared" si="17"/>
        <v>0.24660000000000001</v>
      </c>
      <c r="P21" s="31">
        <f t="shared" si="18"/>
        <v>0.33333333333333331</v>
      </c>
      <c r="Q21" s="31">
        <f t="shared" si="19"/>
        <v>2.4476</v>
      </c>
      <c r="R21" s="30">
        <f t="shared" si="20"/>
        <v>0.24475999999999998</v>
      </c>
      <c r="S21" s="18">
        <f t="shared" si="21"/>
        <v>10</v>
      </c>
      <c r="T21" s="31">
        <f t="shared" si="22"/>
        <v>14.892293333333335</v>
      </c>
      <c r="U21" s="31">
        <f t="shared" si="23"/>
        <v>20.644153333333335</v>
      </c>
    </row>
    <row r="22" spans="1:21" x14ac:dyDescent="0.25">
      <c r="A22" s="39">
        <f t="shared" si="12"/>
        <v>17</v>
      </c>
      <c r="B22" s="18">
        <v>2</v>
      </c>
      <c r="C22" s="29" t="s">
        <v>120</v>
      </c>
      <c r="D22" s="18">
        <v>53</v>
      </c>
      <c r="E22" s="142">
        <v>28348</v>
      </c>
      <c r="F22" s="32">
        <v>28348</v>
      </c>
      <c r="G22" s="142">
        <v>10</v>
      </c>
      <c r="H22" s="18">
        <v>10</v>
      </c>
      <c r="I22" s="18">
        <v>500</v>
      </c>
      <c r="J22" s="30">
        <f t="shared" si="0"/>
        <v>5.1026400000000001</v>
      </c>
      <c r="K22" s="30">
        <f t="shared" si="13"/>
        <v>0.93548400000000009</v>
      </c>
      <c r="L22" s="30">
        <f t="shared" si="14"/>
        <v>0.6236560000000001</v>
      </c>
      <c r="M22" s="31">
        <f t="shared" si="15"/>
        <v>6.6617800000000003</v>
      </c>
      <c r="N22" s="31">
        <f t="shared" si="16"/>
        <v>1.9080000000000001</v>
      </c>
      <c r="O22" s="31">
        <f t="shared" si="17"/>
        <v>0.29044000000000003</v>
      </c>
      <c r="P22" s="31">
        <f t="shared" si="18"/>
        <v>0.33333333333333331</v>
      </c>
      <c r="Q22" s="31">
        <f t="shared" si="19"/>
        <v>2.8348</v>
      </c>
      <c r="R22" s="30">
        <f t="shared" si="20"/>
        <v>0.28348000000000001</v>
      </c>
      <c r="S22" s="18">
        <f t="shared" si="21"/>
        <v>10</v>
      </c>
      <c r="T22" s="31">
        <f t="shared" si="22"/>
        <v>15.650053333333332</v>
      </c>
      <c r="U22" s="31">
        <f t="shared" si="23"/>
        <v>22.311833333333333</v>
      </c>
    </row>
    <row r="23" spans="1:21" x14ac:dyDescent="0.25">
      <c r="A23" s="39">
        <f t="shared" si="12"/>
        <v>18</v>
      </c>
      <c r="B23" s="18">
        <v>2</v>
      </c>
      <c r="C23" s="29" t="s">
        <v>120</v>
      </c>
      <c r="D23" s="18">
        <v>60</v>
      </c>
      <c r="E23" s="142">
        <v>31709</v>
      </c>
      <c r="F23" s="32">
        <v>31709</v>
      </c>
      <c r="G23" s="142">
        <v>10</v>
      </c>
      <c r="H23" s="18">
        <v>10</v>
      </c>
      <c r="I23" s="18">
        <v>500</v>
      </c>
      <c r="J23" s="30">
        <f t="shared" si="0"/>
        <v>5.7076200000000004</v>
      </c>
      <c r="K23" s="30">
        <f t="shared" si="13"/>
        <v>1.046397</v>
      </c>
      <c r="L23" s="30">
        <f t="shared" si="14"/>
        <v>0.69759800000000005</v>
      </c>
      <c r="M23" s="31">
        <f t="shared" si="15"/>
        <v>7.4516150000000003</v>
      </c>
      <c r="N23" s="31">
        <f t="shared" si="16"/>
        <v>2.16</v>
      </c>
      <c r="O23" s="31">
        <f t="shared" si="17"/>
        <v>0.32880000000000004</v>
      </c>
      <c r="P23" s="31">
        <f t="shared" si="18"/>
        <v>0.33333333333333331</v>
      </c>
      <c r="Q23" s="31">
        <f t="shared" si="19"/>
        <v>3.1709000000000001</v>
      </c>
      <c r="R23" s="30">
        <f t="shared" si="20"/>
        <v>0.31708999999999998</v>
      </c>
      <c r="S23" s="18">
        <f t="shared" si="21"/>
        <v>10</v>
      </c>
      <c r="T23" s="31">
        <f t="shared" si="22"/>
        <v>16.310123333333333</v>
      </c>
      <c r="U23" s="31">
        <f t="shared" si="23"/>
        <v>23.761738333333334</v>
      </c>
    </row>
    <row r="24" spans="1:21" x14ac:dyDescent="0.25">
      <c r="A24" s="39">
        <f t="shared" si="12"/>
        <v>19</v>
      </c>
      <c r="B24" s="18">
        <v>2</v>
      </c>
      <c r="C24" s="29" t="s">
        <v>120</v>
      </c>
      <c r="D24" s="18">
        <v>70</v>
      </c>
      <c r="E24" s="142">
        <v>36531</v>
      </c>
      <c r="F24" s="32">
        <v>36531</v>
      </c>
      <c r="G24" s="142">
        <v>10</v>
      </c>
      <c r="H24" s="18">
        <v>10</v>
      </c>
      <c r="I24" s="18">
        <v>500</v>
      </c>
      <c r="J24" s="30">
        <f t="shared" si="0"/>
        <v>6.5755800000000004</v>
      </c>
      <c r="K24" s="30">
        <f t="shared" si="13"/>
        <v>1.2055230000000001</v>
      </c>
      <c r="L24" s="30">
        <f t="shared" si="14"/>
        <v>0.80368200000000023</v>
      </c>
      <c r="M24" s="31">
        <f t="shared" si="15"/>
        <v>8.5847850000000001</v>
      </c>
      <c r="N24" s="31">
        <f t="shared" si="16"/>
        <v>2.52</v>
      </c>
      <c r="O24" s="31">
        <f t="shared" si="17"/>
        <v>0.38360000000000005</v>
      </c>
      <c r="P24" s="31">
        <f t="shared" si="18"/>
        <v>0.33333333333333331</v>
      </c>
      <c r="Q24" s="31">
        <f t="shared" si="19"/>
        <v>3.6531000000000002</v>
      </c>
      <c r="R24" s="30">
        <f t="shared" si="20"/>
        <v>0.36531000000000008</v>
      </c>
      <c r="S24" s="18">
        <f t="shared" si="21"/>
        <v>10</v>
      </c>
      <c r="T24" s="31">
        <f t="shared" si="22"/>
        <v>17.255343333333332</v>
      </c>
      <c r="U24" s="31">
        <f t="shared" si="23"/>
        <v>25.840128333333332</v>
      </c>
    </row>
    <row r="25" spans="1:21" x14ac:dyDescent="0.25">
      <c r="A25" s="39">
        <f t="shared" si="12"/>
        <v>20</v>
      </c>
      <c r="B25" s="18">
        <v>2</v>
      </c>
      <c r="C25" s="29" t="s">
        <v>120</v>
      </c>
      <c r="D25" s="18">
        <v>80</v>
      </c>
      <c r="E25" s="142">
        <v>41280</v>
      </c>
      <c r="F25" s="32">
        <v>41280</v>
      </c>
      <c r="G25" s="142">
        <v>10</v>
      </c>
      <c r="H25" s="18">
        <v>10</v>
      </c>
      <c r="I25" s="18">
        <v>500</v>
      </c>
      <c r="J25" s="30">
        <f t="shared" si="0"/>
        <v>7.4303999999999997</v>
      </c>
      <c r="K25" s="30">
        <f t="shared" si="13"/>
        <v>1.3622400000000001</v>
      </c>
      <c r="L25" s="30">
        <f t="shared" si="14"/>
        <v>0.90816000000000019</v>
      </c>
      <c r="M25" s="31">
        <f t="shared" si="15"/>
        <v>9.700800000000001</v>
      </c>
      <c r="N25" s="31">
        <f t="shared" si="16"/>
        <v>2.88</v>
      </c>
      <c r="O25" s="31">
        <f t="shared" si="17"/>
        <v>0.43840000000000007</v>
      </c>
      <c r="P25" s="31">
        <f t="shared" si="18"/>
        <v>0.33333333333333331</v>
      </c>
      <c r="Q25" s="31">
        <f t="shared" si="19"/>
        <v>4.1280000000000001</v>
      </c>
      <c r="R25" s="30">
        <f t="shared" si="20"/>
        <v>0.4128</v>
      </c>
      <c r="S25" s="18">
        <f t="shared" si="21"/>
        <v>10</v>
      </c>
      <c r="T25" s="31">
        <f t="shared" si="22"/>
        <v>18.192533333333333</v>
      </c>
      <c r="U25" s="31">
        <f t="shared" si="23"/>
        <v>27.893333333333334</v>
      </c>
    </row>
    <row r="26" spans="1:21" x14ac:dyDescent="0.25">
      <c r="A26" s="39">
        <f t="shared" si="12"/>
        <v>21</v>
      </c>
      <c r="B26" s="18">
        <v>2</v>
      </c>
      <c r="C26" s="29" t="s">
        <v>120</v>
      </c>
      <c r="D26" s="18">
        <v>90</v>
      </c>
      <c r="E26" s="142">
        <v>46029</v>
      </c>
      <c r="F26" s="32">
        <v>46029</v>
      </c>
      <c r="G26" s="142">
        <v>10</v>
      </c>
      <c r="H26" s="18">
        <v>10</v>
      </c>
      <c r="I26" s="18">
        <v>500</v>
      </c>
      <c r="J26" s="30">
        <f t="shared" si="0"/>
        <v>8.2852199999999989</v>
      </c>
      <c r="K26" s="30">
        <f t="shared" si="13"/>
        <v>1.5189569999999999</v>
      </c>
      <c r="L26" s="30">
        <f t="shared" si="14"/>
        <v>1.0126380000000001</v>
      </c>
      <c r="M26" s="31">
        <f t="shared" si="15"/>
        <v>10.816815</v>
      </c>
      <c r="N26" s="31">
        <f t="shared" si="16"/>
        <v>3.2399999999999998</v>
      </c>
      <c r="O26" s="31">
        <f t="shared" si="17"/>
        <v>0.49320000000000003</v>
      </c>
      <c r="P26" s="31">
        <f t="shared" si="18"/>
        <v>0.33333333333333331</v>
      </c>
      <c r="Q26" s="31">
        <f t="shared" si="19"/>
        <v>4.6029</v>
      </c>
      <c r="R26" s="30">
        <f t="shared" si="20"/>
        <v>0.46028999999999998</v>
      </c>
      <c r="S26" s="18">
        <f t="shared" si="21"/>
        <v>10</v>
      </c>
      <c r="T26" s="31">
        <f t="shared" si="22"/>
        <v>19.129723333333335</v>
      </c>
      <c r="U26" s="31">
        <f t="shared" si="23"/>
        <v>29.946538333333336</v>
      </c>
    </row>
    <row r="27" spans="1:21" x14ac:dyDescent="0.25">
      <c r="A27" s="39">
        <f t="shared" si="12"/>
        <v>22</v>
      </c>
      <c r="B27" s="18">
        <v>2</v>
      </c>
      <c r="C27" s="29" t="s">
        <v>120</v>
      </c>
      <c r="D27" s="18">
        <v>105</v>
      </c>
      <c r="E27" s="142">
        <v>53335</v>
      </c>
      <c r="F27" s="32">
        <v>53335</v>
      </c>
      <c r="G27" s="142">
        <v>10</v>
      </c>
      <c r="H27" s="18">
        <v>10</v>
      </c>
      <c r="I27" s="18">
        <v>500</v>
      </c>
      <c r="J27" s="30">
        <f t="shared" si="0"/>
        <v>9.6003000000000007</v>
      </c>
      <c r="K27" s="30">
        <f t="shared" si="13"/>
        <v>1.7600550000000001</v>
      </c>
      <c r="L27" s="30">
        <f t="shared" si="14"/>
        <v>1.1733700000000002</v>
      </c>
      <c r="M27" s="31">
        <f t="shared" si="15"/>
        <v>12.533725</v>
      </c>
      <c r="N27" s="31">
        <f t="shared" si="16"/>
        <v>3.78</v>
      </c>
      <c r="O27" s="31">
        <f t="shared" si="17"/>
        <v>0.57540000000000002</v>
      </c>
      <c r="P27" s="31">
        <f t="shared" si="18"/>
        <v>0.33333333333333331</v>
      </c>
      <c r="Q27" s="31">
        <f t="shared" si="19"/>
        <v>5.3334999999999999</v>
      </c>
      <c r="R27" s="30">
        <f t="shared" si="20"/>
        <v>0.53334999999999999</v>
      </c>
      <c r="S27" s="18">
        <f t="shared" si="21"/>
        <v>10</v>
      </c>
      <c r="T27" s="31">
        <f t="shared" si="22"/>
        <v>20.555583333333331</v>
      </c>
      <c r="U27" s="31">
        <f t="shared" si="23"/>
        <v>33.089308333333335</v>
      </c>
    </row>
    <row r="28" spans="1:21" x14ac:dyDescent="0.25">
      <c r="A28" s="39">
        <f t="shared" si="12"/>
        <v>23</v>
      </c>
      <c r="B28" s="18">
        <v>2</v>
      </c>
      <c r="C28" s="29" t="s">
        <v>120</v>
      </c>
      <c r="D28" s="18">
        <v>120</v>
      </c>
      <c r="E28" s="142">
        <v>60641</v>
      </c>
      <c r="F28" s="32">
        <v>60641</v>
      </c>
      <c r="G28" s="142">
        <v>10</v>
      </c>
      <c r="H28" s="18">
        <v>10</v>
      </c>
      <c r="I28" s="18">
        <v>500</v>
      </c>
      <c r="J28" s="30">
        <f t="shared" si="0"/>
        <v>10.915380000000001</v>
      </c>
      <c r="K28" s="30">
        <f t="shared" si="13"/>
        <v>2.001153</v>
      </c>
      <c r="L28" s="30">
        <f t="shared" si="14"/>
        <v>1.3341020000000001</v>
      </c>
      <c r="M28" s="31">
        <f t="shared" si="15"/>
        <v>14.250635000000001</v>
      </c>
      <c r="N28" s="31">
        <f t="shared" si="16"/>
        <v>4.32</v>
      </c>
      <c r="O28" s="31">
        <f t="shared" si="17"/>
        <v>0.65760000000000007</v>
      </c>
      <c r="P28" s="31">
        <f t="shared" si="18"/>
        <v>0.33333333333333331</v>
      </c>
      <c r="Q28" s="31">
        <f t="shared" si="19"/>
        <v>6.0641000000000007</v>
      </c>
      <c r="R28" s="30">
        <f t="shared" si="20"/>
        <v>0.60641</v>
      </c>
      <c r="S28" s="18">
        <f t="shared" si="21"/>
        <v>10</v>
      </c>
      <c r="T28" s="31">
        <f t="shared" si="22"/>
        <v>21.981443333333335</v>
      </c>
      <c r="U28" s="31">
        <f t="shared" si="23"/>
        <v>36.232078333333334</v>
      </c>
    </row>
    <row r="29" spans="1:21" x14ac:dyDescent="0.25">
      <c r="A29" s="39">
        <f t="shared" si="12"/>
        <v>24</v>
      </c>
      <c r="B29" s="18">
        <v>2</v>
      </c>
      <c r="C29" s="29" t="s">
        <v>120</v>
      </c>
      <c r="D29" s="18">
        <v>140</v>
      </c>
      <c r="E29" s="142">
        <v>70139</v>
      </c>
      <c r="F29" s="32">
        <v>70139</v>
      </c>
      <c r="G29" s="142">
        <v>10</v>
      </c>
      <c r="H29" s="18">
        <v>10</v>
      </c>
      <c r="I29" s="18">
        <v>500</v>
      </c>
      <c r="J29" s="30">
        <f t="shared" si="0"/>
        <v>12.625019999999999</v>
      </c>
      <c r="K29" s="30">
        <f t="shared" si="13"/>
        <v>2.314587</v>
      </c>
      <c r="L29" s="30">
        <f t="shared" si="14"/>
        <v>1.543058</v>
      </c>
      <c r="M29" s="31">
        <f t="shared" si="15"/>
        <v>16.482664999999997</v>
      </c>
      <c r="N29" s="31">
        <f t="shared" si="16"/>
        <v>5.04</v>
      </c>
      <c r="O29" s="31">
        <f t="shared" si="17"/>
        <v>0.7672000000000001</v>
      </c>
      <c r="P29" s="31">
        <f t="shared" si="18"/>
        <v>0.33333333333333331</v>
      </c>
      <c r="Q29" s="31">
        <f t="shared" si="19"/>
        <v>7.0139000000000005</v>
      </c>
      <c r="R29" s="30">
        <f t="shared" si="20"/>
        <v>0.70139000000000007</v>
      </c>
      <c r="S29" s="18">
        <f t="shared" si="21"/>
        <v>10</v>
      </c>
      <c r="T29" s="31">
        <f t="shared" si="22"/>
        <v>23.855823333333333</v>
      </c>
      <c r="U29" s="31">
        <f t="shared" si="23"/>
        <v>40.338488333333331</v>
      </c>
    </row>
    <row r="30" spans="1:21" x14ac:dyDescent="0.25">
      <c r="A30" s="39">
        <f t="shared" si="12"/>
        <v>25</v>
      </c>
      <c r="B30" s="18">
        <v>2</v>
      </c>
      <c r="C30" s="29" t="s">
        <v>120</v>
      </c>
      <c r="D30" s="18">
        <v>160</v>
      </c>
      <c r="E30" s="142">
        <v>80002</v>
      </c>
      <c r="F30" s="32">
        <v>80002</v>
      </c>
      <c r="G30" s="142">
        <v>10</v>
      </c>
      <c r="H30" s="18">
        <v>10</v>
      </c>
      <c r="I30" s="18">
        <v>500</v>
      </c>
      <c r="J30" s="30">
        <f t="shared" si="0"/>
        <v>14.400360000000001</v>
      </c>
      <c r="K30" s="30">
        <f t="shared" si="13"/>
        <v>2.6400660000000005</v>
      </c>
      <c r="L30" s="30">
        <f t="shared" si="14"/>
        <v>1.7600440000000004</v>
      </c>
      <c r="M30" s="31">
        <f t="shared" si="15"/>
        <v>18.800470000000001</v>
      </c>
      <c r="N30" s="31">
        <f t="shared" si="16"/>
        <v>5.76</v>
      </c>
      <c r="O30" s="31">
        <f t="shared" si="17"/>
        <v>0.87680000000000013</v>
      </c>
      <c r="P30" s="31">
        <f t="shared" si="18"/>
        <v>0.33333333333333331</v>
      </c>
      <c r="Q30" s="31">
        <f t="shared" si="19"/>
        <v>8.0001999999999995</v>
      </c>
      <c r="R30" s="30">
        <f t="shared" si="20"/>
        <v>0.80001999999999995</v>
      </c>
      <c r="S30" s="18">
        <f t="shared" si="21"/>
        <v>10</v>
      </c>
      <c r="T30" s="31">
        <f t="shared" si="22"/>
        <v>25.770353333333333</v>
      </c>
      <c r="U30" s="31">
        <f t="shared" si="23"/>
        <v>44.570823333333337</v>
      </c>
    </row>
    <row r="31" spans="1:21" x14ac:dyDescent="0.25">
      <c r="A31" s="39">
        <f t="shared" si="12"/>
        <v>26</v>
      </c>
      <c r="B31" s="18">
        <v>2</v>
      </c>
      <c r="C31" s="29" t="s">
        <v>120</v>
      </c>
      <c r="D31" s="18">
        <v>180</v>
      </c>
      <c r="E31" s="142">
        <v>89500</v>
      </c>
      <c r="F31" s="32">
        <v>89500</v>
      </c>
      <c r="G31" s="142">
        <v>10</v>
      </c>
      <c r="H31" s="18">
        <v>10</v>
      </c>
      <c r="I31" s="18">
        <v>500</v>
      </c>
      <c r="J31" s="30">
        <f t="shared" si="0"/>
        <v>16.11</v>
      </c>
      <c r="K31" s="30">
        <f t="shared" si="13"/>
        <v>2.9535000000000005</v>
      </c>
      <c r="L31" s="30">
        <f t="shared" si="14"/>
        <v>1.9690000000000003</v>
      </c>
      <c r="M31" s="31">
        <f t="shared" si="15"/>
        <v>21.032500000000002</v>
      </c>
      <c r="N31" s="31">
        <f t="shared" si="16"/>
        <v>6.4799999999999995</v>
      </c>
      <c r="O31" s="31">
        <f t="shared" si="17"/>
        <v>0.98640000000000005</v>
      </c>
      <c r="P31" s="31">
        <f t="shared" si="18"/>
        <v>0.33333333333333331</v>
      </c>
      <c r="Q31" s="31">
        <f t="shared" si="19"/>
        <v>8.9500000000000011</v>
      </c>
      <c r="R31" s="30">
        <f t="shared" si="20"/>
        <v>0.89500000000000013</v>
      </c>
      <c r="S31" s="18">
        <f t="shared" si="21"/>
        <v>10</v>
      </c>
      <c r="T31" s="31">
        <f t="shared" si="22"/>
        <v>27.644733333333331</v>
      </c>
      <c r="U31" s="31">
        <f t="shared" si="23"/>
        <v>48.677233333333334</v>
      </c>
    </row>
    <row r="32" spans="1:21" x14ac:dyDescent="0.25">
      <c r="A32" s="39">
        <f t="shared" si="12"/>
        <v>27</v>
      </c>
      <c r="B32" s="18">
        <v>2</v>
      </c>
      <c r="C32" s="29" t="s">
        <v>120</v>
      </c>
      <c r="D32" s="18">
        <v>210</v>
      </c>
      <c r="E32" s="142">
        <v>106670</v>
      </c>
      <c r="F32" s="32">
        <v>106670</v>
      </c>
      <c r="G32" s="142">
        <v>10</v>
      </c>
      <c r="H32" s="18">
        <v>10</v>
      </c>
      <c r="I32" s="18">
        <v>500</v>
      </c>
      <c r="J32" s="30">
        <f t="shared" si="0"/>
        <v>19.200600000000001</v>
      </c>
      <c r="K32" s="30">
        <f t="shared" si="13"/>
        <v>3.5201100000000003</v>
      </c>
      <c r="L32" s="30">
        <f t="shared" si="14"/>
        <v>2.3467400000000005</v>
      </c>
      <c r="M32" s="31">
        <f t="shared" si="15"/>
        <v>25.067450000000001</v>
      </c>
      <c r="N32" s="31">
        <f t="shared" si="16"/>
        <v>7.56</v>
      </c>
      <c r="O32" s="31">
        <f t="shared" si="17"/>
        <v>1.1508</v>
      </c>
      <c r="P32" s="31">
        <f t="shared" si="18"/>
        <v>0.33333333333333331</v>
      </c>
      <c r="Q32" s="31">
        <f t="shared" si="19"/>
        <v>10.667</v>
      </c>
      <c r="R32" s="30">
        <f t="shared" si="20"/>
        <v>1.0667</v>
      </c>
      <c r="S32" s="18">
        <f t="shared" si="21"/>
        <v>10</v>
      </c>
      <c r="T32" s="31">
        <f t="shared" si="22"/>
        <v>30.777833333333334</v>
      </c>
      <c r="U32" s="31">
        <f t="shared" si="23"/>
        <v>55.845283333333334</v>
      </c>
    </row>
    <row r="33" spans="1:21" x14ac:dyDescent="0.25">
      <c r="A33" s="39">
        <f t="shared" si="12"/>
        <v>28</v>
      </c>
      <c r="B33" s="18">
        <v>2</v>
      </c>
      <c r="C33" s="29" t="s">
        <v>120</v>
      </c>
      <c r="D33" s="18">
        <v>240</v>
      </c>
      <c r="E33" s="142">
        <v>121282</v>
      </c>
      <c r="F33" s="32">
        <v>121282</v>
      </c>
      <c r="G33" s="142">
        <v>10</v>
      </c>
      <c r="H33" s="18">
        <v>10</v>
      </c>
      <c r="I33" s="18">
        <v>500</v>
      </c>
      <c r="J33" s="30">
        <f t="shared" si="0"/>
        <v>21.830760000000001</v>
      </c>
      <c r="K33" s="30">
        <f t="shared" si="13"/>
        <v>4.0023059999999999</v>
      </c>
      <c r="L33" s="30">
        <f t="shared" si="14"/>
        <v>2.6682040000000002</v>
      </c>
      <c r="M33" s="31">
        <f t="shared" si="15"/>
        <v>28.501270000000002</v>
      </c>
      <c r="N33" s="31">
        <f t="shared" si="16"/>
        <v>8.64</v>
      </c>
      <c r="O33" s="31">
        <f t="shared" si="17"/>
        <v>1.3152000000000001</v>
      </c>
      <c r="P33" s="31">
        <f t="shared" si="18"/>
        <v>0.33333333333333331</v>
      </c>
      <c r="Q33" s="31">
        <f t="shared" si="19"/>
        <v>12.128200000000001</v>
      </c>
      <c r="R33" s="30">
        <f t="shared" si="20"/>
        <v>1.21282</v>
      </c>
      <c r="S33" s="18">
        <f t="shared" si="21"/>
        <v>10</v>
      </c>
      <c r="T33" s="31">
        <f t="shared" si="22"/>
        <v>33.629553333333334</v>
      </c>
      <c r="U33" s="31">
        <f t="shared" si="23"/>
        <v>62.130823333333339</v>
      </c>
    </row>
    <row r="34" spans="1:21" x14ac:dyDescent="0.25">
      <c r="A34" s="39">
        <f t="shared" si="12"/>
        <v>29</v>
      </c>
      <c r="B34" s="18">
        <v>2</v>
      </c>
      <c r="C34" s="29" t="s">
        <v>120</v>
      </c>
      <c r="D34" s="18">
        <v>280</v>
      </c>
      <c r="E34" s="142">
        <v>140278</v>
      </c>
      <c r="F34" s="32">
        <v>140278</v>
      </c>
      <c r="G34" s="142">
        <v>10</v>
      </c>
      <c r="H34" s="18">
        <v>10</v>
      </c>
      <c r="I34" s="18">
        <v>500</v>
      </c>
      <c r="J34" s="30">
        <f t="shared" si="0"/>
        <v>25.250039999999998</v>
      </c>
      <c r="K34" s="30">
        <f t="shared" si="13"/>
        <v>4.6291739999999999</v>
      </c>
      <c r="L34" s="30">
        <f t="shared" si="14"/>
        <v>3.0861160000000001</v>
      </c>
      <c r="M34" s="31">
        <f t="shared" si="15"/>
        <v>32.965329999999994</v>
      </c>
      <c r="N34" s="31">
        <f t="shared" si="16"/>
        <v>10.08</v>
      </c>
      <c r="O34" s="31">
        <f t="shared" si="17"/>
        <v>1.5344000000000002</v>
      </c>
      <c r="P34" s="31">
        <f t="shared" si="18"/>
        <v>0.33333333333333331</v>
      </c>
      <c r="Q34" s="31">
        <f t="shared" si="19"/>
        <v>14.027800000000001</v>
      </c>
      <c r="R34" s="30">
        <f t="shared" si="20"/>
        <v>1.4027800000000001</v>
      </c>
      <c r="S34" s="18">
        <f t="shared" si="21"/>
        <v>10</v>
      </c>
      <c r="T34" s="31">
        <f t="shared" si="22"/>
        <v>37.378313333333338</v>
      </c>
      <c r="U34" s="31">
        <f t="shared" si="23"/>
        <v>70.343643333333333</v>
      </c>
    </row>
    <row r="35" spans="1:21" x14ac:dyDescent="0.25">
      <c r="A35" s="39">
        <f t="shared" si="12"/>
        <v>30</v>
      </c>
      <c r="B35" s="18">
        <v>2</v>
      </c>
      <c r="C35" s="29" t="s">
        <v>120</v>
      </c>
      <c r="D35" s="18">
        <v>320</v>
      </c>
      <c r="E35" s="142">
        <v>159274</v>
      </c>
      <c r="F35" s="32">
        <v>159274</v>
      </c>
      <c r="G35" s="142">
        <v>10</v>
      </c>
      <c r="H35" s="18">
        <v>10</v>
      </c>
      <c r="I35" s="18">
        <v>500</v>
      </c>
      <c r="J35" s="30">
        <f t="shared" si="0"/>
        <v>28.669320000000003</v>
      </c>
      <c r="K35" s="30">
        <f t="shared" si="13"/>
        <v>5.2560420000000008</v>
      </c>
      <c r="L35" s="30">
        <f t="shared" si="14"/>
        <v>3.5040280000000008</v>
      </c>
      <c r="M35" s="31">
        <f t="shared" si="15"/>
        <v>37.429390000000005</v>
      </c>
      <c r="N35" s="31">
        <f t="shared" si="16"/>
        <v>11.52</v>
      </c>
      <c r="O35" s="31">
        <f t="shared" si="17"/>
        <v>1.7536000000000003</v>
      </c>
      <c r="P35" s="31">
        <f t="shared" si="18"/>
        <v>0.33333333333333331</v>
      </c>
      <c r="Q35" s="31">
        <f t="shared" si="19"/>
        <v>15.9274</v>
      </c>
      <c r="R35" s="30">
        <f t="shared" si="20"/>
        <v>1.59274</v>
      </c>
      <c r="S35" s="18">
        <f t="shared" si="21"/>
        <v>10</v>
      </c>
      <c r="T35" s="31">
        <f t="shared" si="22"/>
        <v>41.127073333333335</v>
      </c>
      <c r="U35" s="31">
        <f t="shared" si="23"/>
        <v>78.55646333333334</v>
      </c>
    </row>
    <row r="36" spans="1:21" x14ac:dyDescent="0.25">
      <c r="A36" s="39">
        <f t="shared" si="12"/>
        <v>31</v>
      </c>
      <c r="B36" s="18">
        <v>3</v>
      </c>
      <c r="C36" s="33" t="s">
        <v>121</v>
      </c>
      <c r="D36" s="18">
        <v>45</v>
      </c>
      <c r="E36" s="142">
        <v>28147</v>
      </c>
      <c r="F36" s="32">
        <v>28147</v>
      </c>
      <c r="G36" s="142">
        <v>10</v>
      </c>
      <c r="H36" s="18">
        <v>10</v>
      </c>
      <c r="I36" s="18">
        <v>500</v>
      </c>
      <c r="J36" s="30">
        <f t="shared" si="0"/>
        <v>5.0664600000000002</v>
      </c>
      <c r="K36" s="30">
        <f t="shared" ref="K36:K45" si="24">((F36*1.1)/(2*I36))*($K$2/100)</f>
        <v>0.92885099999999998</v>
      </c>
      <c r="L36" s="30">
        <f t="shared" ref="L36:L45" si="25">((F36*1.1)/(2*I36)*($L$2/100))</f>
        <v>0.61923400000000006</v>
      </c>
      <c r="M36" s="31">
        <f t="shared" ref="M36:M45" si="26">+J36+K36+L36</f>
        <v>6.6145449999999997</v>
      </c>
      <c r="N36" s="31">
        <f t="shared" ref="N36:N45" si="27">+D36*$M$2*$N$2</f>
        <v>1.6199999999999999</v>
      </c>
      <c r="O36" s="31">
        <f t="shared" ref="O36:O45" si="28">+D36*$O$2*$P$2</f>
        <v>0.24660000000000001</v>
      </c>
      <c r="P36" s="31">
        <f t="shared" ref="P36:P45" si="29">+$Q$2/$R$2</f>
        <v>0.33333333333333331</v>
      </c>
      <c r="Q36" s="31">
        <f t="shared" ref="Q36:Q45" si="30">+F36*($S$2/100)</f>
        <v>2.8147000000000002</v>
      </c>
      <c r="R36" s="30">
        <f t="shared" ref="R36:R45" si="31">+Q36*$T$2/100</f>
        <v>0.28147</v>
      </c>
      <c r="S36" s="18">
        <f t="shared" ref="S36:S45" si="32">+$U$2</f>
        <v>10</v>
      </c>
      <c r="T36" s="31">
        <f t="shared" ref="T36:T45" si="33">+N36+O36+P36+Q36+R36+S36</f>
        <v>15.296103333333333</v>
      </c>
      <c r="U36" s="31">
        <f t="shared" ref="U36:U45" si="34">+M36+T36</f>
        <v>21.910648333333334</v>
      </c>
    </row>
    <row r="37" spans="1:21" x14ac:dyDescent="0.25">
      <c r="A37" s="39">
        <f t="shared" si="12"/>
        <v>32</v>
      </c>
      <c r="B37" s="18">
        <v>3</v>
      </c>
      <c r="C37" s="33" t="s">
        <v>121</v>
      </c>
      <c r="D37" s="18">
        <v>53</v>
      </c>
      <c r="E37" s="142">
        <v>32600</v>
      </c>
      <c r="F37" s="32">
        <v>32600</v>
      </c>
      <c r="G37" s="142">
        <v>10</v>
      </c>
      <c r="H37" s="18">
        <v>10</v>
      </c>
      <c r="I37" s="18">
        <v>500</v>
      </c>
      <c r="J37" s="30">
        <f t="shared" si="0"/>
        <v>5.8680000000000003</v>
      </c>
      <c r="K37" s="30">
        <f t="shared" si="24"/>
        <v>1.0757999999999999</v>
      </c>
      <c r="L37" s="30">
        <f t="shared" si="25"/>
        <v>0.71719999999999995</v>
      </c>
      <c r="M37" s="31">
        <f t="shared" si="26"/>
        <v>7.6610000000000005</v>
      </c>
      <c r="N37" s="31">
        <f t="shared" si="27"/>
        <v>1.9080000000000001</v>
      </c>
      <c r="O37" s="31">
        <f t="shared" si="28"/>
        <v>0.29044000000000003</v>
      </c>
      <c r="P37" s="31">
        <f t="shared" si="29"/>
        <v>0.33333333333333331</v>
      </c>
      <c r="Q37" s="31">
        <f t="shared" si="30"/>
        <v>3.2600000000000002</v>
      </c>
      <c r="R37" s="30">
        <f t="shared" si="31"/>
        <v>0.32600000000000001</v>
      </c>
      <c r="S37" s="18">
        <f t="shared" si="32"/>
        <v>10</v>
      </c>
      <c r="T37" s="31">
        <f t="shared" si="33"/>
        <v>16.117773333333332</v>
      </c>
      <c r="U37" s="31">
        <f t="shared" si="34"/>
        <v>23.778773333333334</v>
      </c>
    </row>
    <row r="38" spans="1:21" x14ac:dyDescent="0.25">
      <c r="A38" s="39">
        <f t="shared" si="12"/>
        <v>33</v>
      </c>
      <c r="B38" s="18">
        <v>3</v>
      </c>
      <c r="C38" s="33" t="s">
        <v>121</v>
      </c>
      <c r="D38" s="18">
        <v>60</v>
      </c>
      <c r="E38" s="142">
        <v>36465</v>
      </c>
      <c r="F38" s="32">
        <v>36465</v>
      </c>
      <c r="G38" s="142">
        <v>10</v>
      </c>
      <c r="H38" s="18">
        <v>10</v>
      </c>
      <c r="I38" s="18">
        <v>500</v>
      </c>
      <c r="J38" s="30">
        <f t="shared" si="0"/>
        <v>6.5636999999999999</v>
      </c>
      <c r="K38" s="30">
        <f t="shared" si="24"/>
        <v>1.2033449999999999</v>
      </c>
      <c r="L38" s="30">
        <f t="shared" si="25"/>
        <v>0.80223</v>
      </c>
      <c r="M38" s="31">
        <f t="shared" si="26"/>
        <v>8.5692749999999993</v>
      </c>
      <c r="N38" s="31">
        <f t="shared" si="27"/>
        <v>2.16</v>
      </c>
      <c r="O38" s="31">
        <f t="shared" si="28"/>
        <v>0.32880000000000004</v>
      </c>
      <c r="P38" s="31">
        <f t="shared" si="29"/>
        <v>0.33333333333333331</v>
      </c>
      <c r="Q38" s="31">
        <f t="shared" si="30"/>
        <v>3.6465000000000001</v>
      </c>
      <c r="R38" s="30">
        <f t="shared" si="31"/>
        <v>0.36465000000000003</v>
      </c>
      <c r="S38" s="18">
        <f t="shared" si="32"/>
        <v>10</v>
      </c>
      <c r="T38" s="31">
        <f t="shared" si="33"/>
        <v>16.833283333333334</v>
      </c>
      <c r="U38" s="31">
        <f t="shared" si="34"/>
        <v>25.402558333333332</v>
      </c>
    </row>
    <row r="39" spans="1:21" x14ac:dyDescent="0.25">
      <c r="A39" s="39">
        <f t="shared" si="12"/>
        <v>34</v>
      </c>
      <c r="B39" s="18">
        <v>3</v>
      </c>
      <c r="C39" s="33" t="s">
        <v>121</v>
      </c>
      <c r="D39" s="18">
        <v>70</v>
      </c>
      <c r="E39" s="142">
        <v>42010</v>
      </c>
      <c r="F39" s="32">
        <v>42010</v>
      </c>
      <c r="G39" s="142">
        <v>10</v>
      </c>
      <c r="H39" s="18">
        <v>10</v>
      </c>
      <c r="I39" s="18">
        <v>500</v>
      </c>
      <c r="J39" s="30">
        <f t="shared" si="0"/>
        <v>7.5617999999999999</v>
      </c>
      <c r="K39" s="30">
        <f t="shared" si="24"/>
        <v>1.3863300000000001</v>
      </c>
      <c r="L39" s="30">
        <f t="shared" si="25"/>
        <v>0.92422000000000015</v>
      </c>
      <c r="M39" s="31">
        <f t="shared" si="26"/>
        <v>9.8723499999999991</v>
      </c>
      <c r="N39" s="31">
        <f t="shared" si="27"/>
        <v>2.52</v>
      </c>
      <c r="O39" s="31">
        <f t="shared" si="28"/>
        <v>0.38360000000000005</v>
      </c>
      <c r="P39" s="31">
        <f t="shared" si="29"/>
        <v>0.33333333333333331</v>
      </c>
      <c r="Q39" s="31">
        <f t="shared" si="30"/>
        <v>4.2010000000000005</v>
      </c>
      <c r="R39" s="30">
        <f t="shared" si="31"/>
        <v>0.42010000000000003</v>
      </c>
      <c r="S39" s="18">
        <f t="shared" si="32"/>
        <v>10</v>
      </c>
      <c r="T39" s="31">
        <f t="shared" si="33"/>
        <v>17.858033333333331</v>
      </c>
      <c r="U39" s="31">
        <f t="shared" si="34"/>
        <v>27.730383333333329</v>
      </c>
    </row>
    <row r="40" spans="1:21" x14ac:dyDescent="0.25">
      <c r="A40" s="39">
        <f t="shared" si="12"/>
        <v>35</v>
      </c>
      <c r="B40" s="18">
        <v>3</v>
      </c>
      <c r="C40" s="33" t="s">
        <v>121</v>
      </c>
      <c r="D40" s="18">
        <v>80</v>
      </c>
      <c r="E40" s="142">
        <v>47472</v>
      </c>
      <c r="F40" s="32">
        <v>47472</v>
      </c>
      <c r="G40" s="142">
        <v>10</v>
      </c>
      <c r="H40" s="18">
        <v>10</v>
      </c>
      <c r="I40" s="18">
        <v>500</v>
      </c>
      <c r="J40" s="30">
        <f t="shared" si="0"/>
        <v>8.5449600000000014</v>
      </c>
      <c r="K40" s="30">
        <f t="shared" si="24"/>
        <v>1.5665760000000002</v>
      </c>
      <c r="L40" s="30">
        <f t="shared" si="25"/>
        <v>1.0443840000000002</v>
      </c>
      <c r="M40" s="31">
        <f t="shared" si="26"/>
        <v>11.155920000000002</v>
      </c>
      <c r="N40" s="31">
        <f t="shared" si="27"/>
        <v>2.88</v>
      </c>
      <c r="O40" s="31">
        <f t="shared" si="28"/>
        <v>0.43840000000000007</v>
      </c>
      <c r="P40" s="31">
        <f t="shared" si="29"/>
        <v>0.33333333333333331</v>
      </c>
      <c r="Q40" s="31">
        <f t="shared" si="30"/>
        <v>4.7472000000000003</v>
      </c>
      <c r="R40" s="30">
        <f t="shared" si="31"/>
        <v>0.47472000000000003</v>
      </c>
      <c r="S40" s="18">
        <f t="shared" si="32"/>
        <v>10</v>
      </c>
      <c r="T40" s="31">
        <f t="shared" si="33"/>
        <v>18.873653333333333</v>
      </c>
      <c r="U40" s="31">
        <f t="shared" si="34"/>
        <v>30.029573333333335</v>
      </c>
    </row>
    <row r="41" spans="1:21" x14ac:dyDescent="0.25">
      <c r="A41" s="39">
        <f t="shared" si="12"/>
        <v>36</v>
      </c>
      <c r="B41" s="18">
        <v>3</v>
      </c>
      <c r="C41" s="33" t="s">
        <v>121</v>
      </c>
      <c r="D41" s="18">
        <v>90</v>
      </c>
      <c r="E41" s="142">
        <v>52933</v>
      </c>
      <c r="F41" s="32">
        <v>52933</v>
      </c>
      <c r="G41" s="142">
        <v>10</v>
      </c>
      <c r="H41" s="18">
        <v>10</v>
      </c>
      <c r="I41" s="18">
        <v>500</v>
      </c>
      <c r="J41" s="30">
        <f t="shared" si="0"/>
        <v>9.527940000000001</v>
      </c>
      <c r="K41" s="30">
        <f t="shared" si="24"/>
        <v>1.7467889999999999</v>
      </c>
      <c r="L41" s="30">
        <f t="shared" si="25"/>
        <v>1.1645260000000002</v>
      </c>
      <c r="M41" s="31">
        <f t="shared" si="26"/>
        <v>12.439255000000001</v>
      </c>
      <c r="N41" s="31">
        <f t="shared" si="27"/>
        <v>3.2399999999999998</v>
      </c>
      <c r="O41" s="31">
        <f t="shared" si="28"/>
        <v>0.49320000000000003</v>
      </c>
      <c r="P41" s="31">
        <f t="shared" si="29"/>
        <v>0.33333333333333331</v>
      </c>
      <c r="Q41" s="31">
        <f t="shared" si="30"/>
        <v>5.2933000000000003</v>
      </c>
      <c r="R41" s="30">
        <f t="shared" si="31"/>
        <v>0.52933000000000008</v>
      </c>
      <c r="S41" s="18">
        <f t="shared" si="32"/>
        <v>10</v>
      </c>
      <c r="T41" s="31">
        <f t="shared" si="33"/>
        <v>19.889163333333336</v>
      </c>
      <c r="U41" s="31">
        <f t="shared" si="34"/>
        <v>32.328418333333339</v>
      </c>
    </row>
    <row r="42" spans="1:21" x14ac:dyDescent="0.25">
      <c r="A42" s="39">
        <f t="shared" si="12"/>
        <v>37</v>
      </c>
      <c r="B42" s="18">
        <v>3</v>
      </c>
      <c r="C42" s="33" t="s">
        <v>121</v>
      </c>
      <c r="D42" s="18">
        <v>105</v>
      </c>
      <c r="E42" s="142">
        <v>61335</v>
      </c>
      <c r="F42" s="32">
        <v>61335</v>
      </c>
      <c r="G42" s="142">
        <v>10</v>
      </c>
      <c r="H42" s="18">
        <v>10</v>
      </c>
      <c r="I42" s="18">
        <v>500</v>
      </c>
      <c r="J42" s="30">
        <f t="shared" si="0"/>
        <v>11.0403</v>
      </c>
      <c r="K42" s="30">
        <f t="shared" si="24"/>
        <v>2.0240550000000002</v>
      </c>
      <c r="L42" s="30">
        <f t="shared" si="25"/>
        <v>1.3493700000000002</v>
      </c>
      <c r="M42" s="31">
        <f t="shared" si="26"/>
        <v>14.413725000000001</v>
      </c>
      <c r="N42" s="31">
        <f t="shared" si="27"/>
        <v>3.78</v>
      </c>
      <c r="O42" s="31">
        <f t="shared" si="28"/>
        <v>0.57540000000000002</v>
      </c>
      <c r="P42" s="31">
        <f t="shared" si="29"/>
        <v>0.33333333333333331</v>
      </c>
      <c r="Q42" s="31">
        <f t="shared" si="30"/>
        <v>6.1335000000000006</v>
      </c>
      <c r="R42" s="30">
        <f t="shared" si="31"/>
        <v>0.61335000000000006</v>
      </c>
      <c r="S42" s="18">
        <f t="shared" si="32"/>
        <v>10</v>
      </c>
      <c r="T42" s="31">
        <f t="shared" si="33"/>
        <v>21.435583333333334</v>
      </c>
      <c r="U42" s="31">
        <f t="shared" si="34"/>
        <v>35.849308333333333</v>
      </c>
    </row>
    <row r="43" spans="1:21" x14ac:dyDescent="0.25">
      <c r="A43" s="39">
        <f t="shared" si="12"/>
        <v>38</v>
      </c>
      <c r="B43" s="18">
        <v>3</v>
      </c>
      <c r="C43" s="33" t="s">
        <v>121</v>
      </c>
      <c r="D43" s="18">
        <v>120</v>
      </c>
      <c r="E43" s="142">
        <v>69737</v>
      </c>
      <c r="F43" s="32">
        <v>69737</v>
      </c>
      <c r="G43" s="142">
        <v>10</v>
      </c>
      <c r="H43" s="18">
        <v>10</v>
      </c>
      <c r="I43" s="18">
        <v>500</v>
      </c>
      <c r="J43" s="30">
        <f t="shared" si="0"/>
        <v>12.552660000000001</v>
      </c>
      <c r="K43" s="30">
        <f t="shared" si="24"/>
        <v>2.3013210000000006</v>
      </c>
      <c r="L43" s="30">
        <f t="shared" si="25"/>
        <v>1.5342140000000004</v>
      </c>
      <c r="M43" s="31">
        <f t="shared" si="26"/>
        <v>16.388195000000003</v>
      </c>
      <c r="N43" s="31">
        <f t="shared" si="27"/>
        <v>4.32</v>
      </c>
      <c r="O43" s="31">
        <f t="shared" si="28"/>
        <v>0.65760000000000007</v>
      </c>
      <c r="P43" s="31">
        <f t="shared" si="29"/>
        <v>0.33333333333333331</v>
      </c>
      <c r="Q43" s="31">
        <f t="shared" si="30"/>
        <v>6.9737</v>
      </c>
      <c r="R43" s="30">
        <f t="shared" si="31"/>
        <v>0.69736999999999993</v>
      </c>
      <c r="S43" s="18">
        <f t="shared" si="32"/>
        <v>10</v>
      </c>
      <c r="T43" s="31">
        <f t="shared" si="33"/>
        <v>22.982003333333331</v>
      </c>
      <c r="U43" s="31">
        <f t="shared" si="34"/>
        <v>39.370198333333335</v>
      </c>
    </row>
    <row r="44" spans="1:21" x14ac:dyDescent="0.25">
      <c r="A44" s="39">
        <f t="shared" si="12"/>
        <v>39</v>
      </c>
      <c r="B44" s="18">
        <v>3</v>
      </c>
      <c r="C44" s="33" t="s">
        <v>121</v>
      </c>
      <c r="D44" s="18">
        <v>140</v>
      </c>
      <c r="E44" s="142">
        <v>80660</v>
      </c>
      <c r="F44" s="32">
        <v>80660</v>
      </c>
      <c r="G44" s="142">
        <v>10</v>
      </c>
      <c r="H44" s="18">
        <v>10</v>
      </c>
      <c r="I44" s="18">
        <v>500</v>
      </c>
      <c r="J44" s="30">
        <f t="shared" si="0"/>
        <v>14.518800000000001</v>
      </c>
      <c r="K44" s="30">
        <f t="shared" si="24"/>
        <v>2.6617799999999998</v>
      </c>
      <c r="L44" s="30">
        <f t="shared" si="25"/>
        <v>1.7745200000000001</v>
      </c>
      <c r="M44" s="31">
        <f t="shared" si="26"/>
        <v>18.955099999999998</v>
      </c>
      <c r="N44" s="31">
        <f t="shared" si="27"/>
        <v>5.04</v>
      </c>
      <c r="O44" s="31">
        <f t="shared" si="28"/>
        <v>0.7672000000000001</v>
      </c>
      <c r="P44" s="31">
        <f t="shared" si="29"/>
        <v>0.33333333333333331</v>
      </c>
      <c r="Q44" s="31">
        <f t="shared" si="30"/>
        <v>8.0660000000000007</v>
      </c>
      <c r="R44" s="30">
        <f t="shared" si="31"/>
        <v>0.80660000000000009</v>
      </c>
      <c r="S44" s="18">
        <f t="shared" si="32"/>
        <v>10</v>
      </c>
      <c r="T44" s="31">
        <f t="shared" si="33"/>
        <v>25.013133333333332</v>
      </c>
      <c r="U44" s="31">
        <f t="shared" si="34"/>
        <v>43.96823333333333</v>
      </c>
    </row>
    <row r="45" spans="1:21" x14ac:dyDescent="0.25">
      <c r="A45" s="39">
        <f t="shared" si="12"/>
        <v>40</v>
      </c>
      <c r="B45" s="18">
        <v>3</v>
      </c>
      <c r="C45" s="33" t="s">
        <v>121</v>
      </c>
      <c r="D45" s="18">
        <v>160</v>
      </c>
      <c r="E45" s="142">
        <v>92003</v>
      </c>
      <c r="F45" s="32">
        <v>92003</v>
      </c>
      <c r="G45" s="142">
        <v>10</v>
      </c>
      <c r="H45" s="18">
        <v>10</v>
      </c>
      <c r="I45" s="18">
        <v>400</v>
      </c>
      <c r="J45" s="30">
        <f t="shared" si="0"/>
        <v>20.700675</v>
      </c>
      <c r="K45" s="30">
        <f t="shared" si="24"/>
        <v>3.7951237500000001</v>
      </c>
      <c r="L45" s="30">
        <f t="shared" si="25"/>
        <v>2.5300825000000002</v>
      </c>
      <c r="M45" s="31">
        <f t="shared" si="26"/>
        <v>27.025881249999998</v>
      </c>
      <c r="N45" s="31">
        <f t="shared" si="27"/>
        <v>5.76</v>
      </c>
      <c r="O45" s="31">
        <f t="shared" si="28"/>
        <v>0.87680000000000013</v>
      </c>
      <c r="P45" s="31">
        <f t="shared" si="29"/>
        <v>0.33333333333333331</v>
      </c>
      <c r="Q45" s="31">
        <f t="shared" si="30"/>
        <v>9.2003000000000004</v>
      </c>
      <c r="R45" s="30">
        <f t="shared" si="31"/>
        <v>0.92003000000000001</v>
      </c>
      <c r="S45" s="18">
        <f t="shared" si="32"/>
        <v>10</v>
      </c>
      <c r="T45" s="31">
        <f t="shared" si="33"/>
        <v>27.090463333333336</v>
      </c>
      <c r="U45" s="31">
        <f t="shared" si="34"/>
        <v>54.11634458333333</v>
      </c>
    </row>
  </sheetData>
  <mergeCells count="3">
    <mergeCell ref="C1:G2"/>
    <mergeCell ref="A1:A5"/>
    <mergeCell ref="B1:B5"/>
  </mergeCells>
  <printOptions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zoomScaleNormal="100" workbookViewId="0">
      <pane ySplit="3" topLeftCell="A154" activePane="bottomLeft" state="frozen"/>
      <selection pane="bottomLeft" activeCell="H167" sqref="H167"/>
    </sheetView>
  </sheetViews>
  <sheetFormatPr defaultRowHeight="13.2" x14ac:dyDescent="0.25"/>
  <cols>
    <col min="1" max="2" width="4.33203125" customWidth="1"/>
    <col min="3" max="3" width="42.88671875" customWidth="1"/>
    <col min="4" max="4" width="12.44140625" customWidth="1"/>
    <col min="5" max="6" width="8.33203125" customWidth="1"/>
    <col min="7" max="8" width="7.6640625" customWidth="1"/>
    <col min="9" max="10" width="6.88671875" customWidth="1"/>
    <col min="11" max="11" width="9.44140625" bestFit="1" customWidth="1"/>
    <col min="12" max="12" width="9.5546875" bestFit="1" customWidth="1"/>
    <col min="13" max="14" width="9.109375" customWidth="1"/>
    <col min="15" max="15" width="6.33203125" style="38" customWidth="1"/>
  </cols>
  <sheetData>
    <row r="1" spans="1:14" x14ac:dyDescent="0.25">
      <c r="A1" s="223" t="s">
        <v>458</v>
      </c>
      <c r="B1" s="223" t="s">
        <v>97</v>
      </c>
      <c r="C1" s="221" t="s">
        <v>122</v>
      </c>
      <c r="D1" s="18"/>
      <c r="E1" s="18"/>
      <c r="F1" s="18"/>
      <c r="G1" s="18"/>
      <c r="H1" s="18"/>
      <c r="I1" s="18"/>
      <c r="J1" s="34"/>
      <c r="K1" s="21" t="s">
        <v>123</v>
      </c>
      <c r="L1" s="143">
        <f>+IHERA_Trat!K2</f>
        <v>3</v>
      </c>
      <c r="M1" s="21"/>
      <c r="N1" s="35"/>
    </row>
    <row r="2" spans="1:14" x14ac:dyDescent="0.25">
      <c r="A2" s="224"/>
      <c r="B2" s="225"/>
      <c r="C2" s="222"/>
      <c r="D2" s="26" t="s">
        <v>124</v>
      </c>
      <c r="E2" s="141" t="s">
        <v>126</v>
      </c>
      <c r="F2" s="27" t="s">
        <v>127</v>
      </c>
      <c r="G2" s="141" t="s">
        <v>665</v>
      </c>
      <c r="H2" s="26" t="s">
        <v>664</v>
      </c>
      <c r="I2" s="26" t="s">
        <v>102</v>
      </c>
      <c r="J2" s="36" t="s">
        <v>125</v>
      </c>
      <c r="K2" s="28" t="s">
        <v>128</v>
      </c>
      <c r="L2" s="28" t="s">
        <v>104</v>
      </c>
      <c r="M2" s="28" t="s">
        <v>129</v>
      </c>
      <c r="N2" s="28" t="s">
        <v>114</v>
      </c>
    </row>
    <row r="3" spans="1:14" x14ac:dyDescent="0.25">
      <c r="A3" s="224"/>
      <c r="B3" s="225"/>
      <c r="C3" s="222"/>
      <c r="D3" s="26"/>
      <c r="E3" s="144" t="s">
        <v>48</v>
      </c>
      <c r="F3" s="28" t="s">
        <v>48</v>
      </c>
      <c r="G3" s="141" t="s">
        <v>116</v>
      </c>
      <c r="H3" s="26" t="s">
        <v>116</v>
      </c>
      <c r="I3" s="26" t="s">
        <v>117</v>
      </c>
      <c r="J3" s="36" t="s">
        <v>130</v>
      </c>
      <c r="K3" s="28" t="s">
        <v>118</v>
      </c>
      <c r="L3" s="28" t="s">
        <v>118</v>
      </c>
      <c r="M3" s="28" t="s">
        <v>118</v>
      </c>
      <c r="N3" s="28" t="s">
        <v>118</v>
      </c>
    </row>
    <row r="4" spans="1:14" x14ac:dyDescent="0.25">
      <c r="A4" s="39">
        <v>1</v>
      </c>
      <c r="B4" s="18">
        <v>4</v>
      </c>
      <c r="C4" s="33" t="s">
        <v>131</v>
      </c>
      <c r="D4" s="18" t="s">
        <v>132</v>
      </c>
      <c r="E4" s="142">
        <v>9040</v>
      </c>
      <c r="F4" s="18">
        <v>9040</v>
      </c>
      <c r="G4" s="142">
        <v>10</v>
      </c>
      <c r="H4" s="18">
        <v>10</v>
      </c>
      <c r="I4" s="18">
        <v>100</v>
      </c>
      <c r="J4" s="34">
        <v>0.03</v>
      </c>
      <c r="K4" s="31">
        <f>+F4/(H4*I4)</f>
        <v>9.0399999999999991</v>
      </c>
      <c r="L4" s="31">
        <f t="shared" ref="L4:L67" si="0">+(F4/I4)*($L$1/100)</f>
        <v>2.7120000000000002</v>
      </c>
      <c r="M4" s="31">
        <f t="shared" ref="M4:M67" si="1">+F4*J4/100</f>
        <v>2.7119999999999997</v>
      </c>
      <c r="N4" s="31">
        <f>+K4+L4+M4</f>
        <v>14.463999999999999</v>
      </c>
    </row>
    <row r="5" spans="1:14" x14ac:dyDescent="0.25">
      <c r="A5" s="39">
        <f>+A4+1</f>
        <v>2</v>
      </c>
      <c r="B5" s="18">
        <v>5</v>
      </c>
      <c r="C5" s="33" t="s">
        <v>133</v>
      </c>
      <c r="D5" s="18" t="s">
        <v>134</v>
      </c>
      <c r="E5" s="142">
        <v>6816</v>
      </c>
      <c r="F5" s="18">
        <v>6816</v>
      </c>
      <c r="G5" s="142">
        <v>10</v>
      </c>
      <c r="H5" s="18">
        <v>10</v>
      </c>
      <c r="I5" s="18">
        <v>100</v>
      </c>
      <c r="J5" s="34">
        <v>0.03</v>
      </c>
      <c r="K5" s="31">
        <f t="shared" ref="K5:K68" si="2">+F5/(H5*I5)</f>
        <v>6.8159999999999998</v>
      </c>
      <c r="L5" s="31">
        <f t="shared" si="0"/>
        <v>2.0448</v>
      </c>
      <c r="M5" s="31">
        <f t="shared" si="1"/>
        <v>2.0448</v>
      </c>
      <c r="N5" s="31">
        <f>+K5+L5+M5</f>
        <v>10.9056</v>
      </c>
    </row>
    <row r="6" spans="1:14" x14ac:dyDescent="0.25">
      <c r="A6" s="39">
        <f t="shared" ref="A6:A69" si="3">+A5+1</f>
        <v>3</v>
      </c>
      <c r="B6" s="18">
        <v>5</v>
      </c>
      <c r="C6" s="33" t="s">
        <v>133</v>
      </c>
      <c r="D6" s="18" t="s">
        <v>135</v>
      </c>
      <c r="E6" s="142">
        <v>9597</v>
      </c>
      <c r="F6" s="18">
        <v>9597</v>
      </c>
      <c r="G6" s="142">
        <v>10</v>
      </c>
      <c r="H6" s="18">
        <v>10</v>
      </c>
      <c r="I6" s="18">
        <v>100</v>
      </c>
      <c r="J6" s="34">
        <v>0.03</v>
      </c>
      <c r="K6" s="31">
        <f t="shared" si="2"/>
        <v>9.5969999999999995</v>
      </c>
      <c r="L6" s="31">
        <f t="shared" si="0"/>
        <v>2.8790999999999998</v>
      </c>
      <c r="M6" s="31">
        <f t="shared" si="1"/>
        <v>2.8790999999999998</v>
      </c>
      <c r="N6" s="31">
        <f t="shared" ref="N6:N69" si="4">+K6+L6+M6</f>
        <v>15.355199999999998</v>
      </c>
    </row>
    <row r="7" spans="1:14" x14ac:dyDescent="0.25">
      <c r="A7" s="39">
        <f t="shared" si="3"/>
        <v>4</v>
      </c>
      <c r="B7" s="18">
        <v>6</v>
      </c>
      <c r="C7" s="33" t="s">
        <v>136</v>
      </c>
      <c r="D7" s="18" t="s">
        <v>137</v>
      </c>
      <c r="E7" s="142">
        <v>4936</v>
      </c>
      <c r="F7" s="18">
        <v>4936</v>
      </c>
      <c r="G7" s="142">
        <v>10</v>
      </c>
      <c r="H7" s="18">
        <v>10</v>
      </c>
      <c r="I7" s="18">
        <v>100</v>
      </c>
      <c r="J7" s="34">
        <v>0.03</v>
      </c>
      <c r="K7" s="31">
        <f t="shared" si="2"/>
        <v>4.9359999999999999</v>
      </c>
      <c r="L7" s="31">
        <f t="shared" si="0"/>
        <v>1.4807999999999999</v>
      </c>
      <c r="M7" s="31">
        <f t="shared" si="1"/>
        <v>1.4807999999999999</v>
      </c>
      <c r="N7" s="31">
        <f t="shared" si="4"/>
        <v>7.8976000000000006</v>
      </c>
    </row>
    <row r="8" spans="1:14" x14ac:dyDescent="0.25">
      <c r="A8" s="39">
        <f t="shared" si="3"/>
        <v>5</v>
      </c>
      <c r="B8" s="18">
        <v>6</v>
      </c>
      <c r="C8" s="33" t="s">
        <v>136</v>
      </c>
      <c r="D8" s="18" t="s">
        <v>138</v>
      </c>
      <c r="E8" s="142">
        <v>5639</v>
      </c>
      <c r="F8" s="18">
        <v>5639</v>
      </c>
      <c r="G8" s="142">
        <v>10</v>
      </c>
      <c r="H8" s="18">
        <v>10</v>
      </c>
      <c r="I8" s="18">
        <v>100</v>
      </c>
      <c r="J8" s="34">
        <v>0.03</v>
      </c>
      <c r="K8" s="31">
        <f t="shared" si="2"/>
        <v>5.6390000000000002</v>
      </c>
      <c r="L8" s="31">
        <f t="shared" si="0"/>
        <v>1.6917</v>
      </c>
      <c r="M8" s="31">
        <f t="shared" si="1"/>
        <v>1.6917</v>
      </c>
      <c r="N8" s="31">
        <f t="shared" si="4"/>
        <v>9.0224000000000011</v>
      </c>
    </row>
    <row r="9" spans="1:14" x14ac:dyDescent="0.25">
      <c r="A9" s="39">
        <f t="shared" si="3"/>
        <v>6</v>
      </c>
      <c r="B9" s="18">
        <v>7</v>
      </c>
      <c r="C9" s="33" t="s">
        <v>139</v>
      </c>
      <c r="D9" s="18" t="s">
        <v>140</v>
      </c>
      <c r="E9" s="142">
        <v>1797</v>
      </c>
      <c r="F9" s="18">
        <v>1797</v>
      </c>
      <c r="G9" s="142">
        <v>10</v>
      </c>
      <c r="H9" s="18">
        <v>10</v>
      </c>
      <c r="I9" s="18">
        <v>100</v>
      </c>
      <c r="J9" s="34">
        <v>0.2</v>
      </c>
      <c r="K9" s="31">
        <f t="shared" si="2"/>
        <v>1.7969999999999999</v>
      </c>
      <c r="L9" s="31">
        <f t="shared" si="0"/>
        <v>0.53909999999999991</v>
      </c>
      <c r="M9" s="31">
        <f t="shared" si="1"/>
        <v>3.5940000000000003</v>
      </c>
      <c r="N9" s="31">
        <f t="shared" si="4"/>
        <v>5.9301000000000004</v>
      </c>
    </row>
    <row r="10" spans="1:14" x14ac:dyDescent="0.25">
      <c r="A10" s="39">
        <f t="shared" si="3"/>
        <v>7</v>
      </c>
      <c r="B10" s="18">
        <v>7</v>
      </c>
      <c r="C10" s="33" t="s">
        <v>139</v>
      </c>
      <c r="D10" s="18" t="s">
        <v>141</v>
      </c>
      <c r="E10" s="142">
        <v>2005</v>
      </c>
      <c r="F10" s="18">
        <v>2005</v>
      </c>
      <c r="G10" s="142">
        <v>10</v>
      </c>
      <c r="H10" s="18">
        <v>10</v>
      </c>
      <c r="I10" s="18">
        <v>100</v>
      </c>
      <c r="J10" s="34">
        <v>0.2</v>
      </c>
      <c r="K10" s="31">
        <f t="shared" si="2"/>
        <v>2.0049999999999999</v>
      </c>
      <c r="L10" s="31">
        <f t="shared" si="0"/>
        <v>0.60150000000000003</v>
      </c>
      <c r="M10" s="31">
        <f t="shared" si="1"/>
        <v>4.01</v>
      </c>
      <c r="N10" s="31">
        <f t="shared" si="4"/>
        <v>6.6165000000000003</v>
      </c>
    </row>
    <row r="11" spans="1:14" x14ac:dyDescent="0.25">
      <c r="A11" s="39">
        <f t="shared" si="3"/>
        <v>8</v>
      </c>
      <c r="B11" s="18">
        <v>7</v>
      </c>
      <c r="C11" s="33" t="s">
        <v>139</v>
      </c>
      <c r="D11" s="18" t="s">
        <v>142</v>
      </c>
      <c r="E11" s="142">
        <v>2218</v>
      </c>
      <c r="F11" s="18">
        <v>2218</v>
      </c>
      <c r="G11" s="142">
        <v>10</v>
      </c>
      <c r="H11" s="18">
        <v>10</v>
      </c>
      <c r="I11" s="18">
        <v>100</v>
      </c>
      <c r="J11" s="34">
        <v>0.2</v>
      </c>
      <c r="K11" s="31">
        <f t="shared" si="2"/>
        <v>2.218</v>
      </c>
      <c r="L11" s="31">
        <f t="shared" si="0"/>
        <v>0.66539999999999999</v>
      </c>
      <c r="M11" s="31">
        <f t="shared" si="1"/>
        <v>4.4359999999999999</v>
      </c>
      <c r="N11" s="31">
        <f t="shared" si="4"/>
        <v>7.3193999999999999</v>
      </c>
    </row>
    <row r="12" spans="1:14" x14ac:dyDescent="0.25">
      <c r="A12" s="39">
        <f t="shared" si="3"/>
        <v>9</v>
      </c>
      <c r="B12" s="18">
        <v>7</v>
      </c>
      <c r="C12" s="33" t="s">
        <v>139</v>
      </c>
      <c r="D12" s="18" t="s">
        <v>143</v>
      </c>
      <c r="E12" s="142">
        <v>2431</v>
      </c>
      <c r="F12" s="18">
        <v>2431</v>
      </c>
      <c r="G12" s="142">
        <v>10</v>
      </c>
      <c r="H12" s="18">
        <v>10</v>
      </c>
      <c r="I12" s="18">
        <v>100</v>
      </c>
      <c r="J12" s="34">
        <v>0.2</v>
      </c>
      <c r="K12" s="31">
        <f t="shared" si="2"/>
        <v>2.431</v>
      </c>
      <c r="L12" s="31">
        <f t="shared" si="0"/>
        <v>0.72929999999999995</v>
      </c>
      <c r="M12" s="31">
        <f t="shared" si="1"/>
        <v>4.8620000000000001</v>
      </c>
      <c r="N12" s="31">
        <f t="shared" si="4"/>
        <v>8.0222999999999995</v>
      </c>
    </row>
    <row r="13" spans="1:14" x14ac:dyDescent="0.25">
      <c r="A13" s="39">
        <f t="shared" si="3"/>
        <v>10</v>
      </c>
      <c r="B13" s="18">
        <v>7</v>
      </c>
      <c r="C13" s="33" t="s">
        <v>139</v>
      </c>
      <c r="D13" s="18" t="s">
        <v>144</v>
      </c>
      <c r="E13" s="142">
        <v>2643</v>
      </c>
      <c r="F13" s="18">
        <v>2643</v>
      </c>
      <c r="G13" s="142">
        <v>10</v>
      </c>
      <c r="H13" s="18">
        <v>10</v>
      </c>
      <c r="I13" s="18">
        <v>100</v>
      </c>
      <c r="J13" s="34">
        <v>0.2</v>
      </c>
      <c r="K13" s="31">
        <f t="shared" si="2"/>
        <v>2.6429999999999998</v>
      </c>
      <c r="L13" s="31">
        <f t="shared" si="0"/>
        <v>0.79289999999999994</v>
      </c>
      <c r="M13" s="31">
        <f t="shared" si="1"/>
        <v>5.2860000000000005</v>
      </c>
      <c r="N13" s="31">
        <f t="shared" si="4"/>
        <v>8.7218999999999998</v>
      </c>
    </row>
    <row r="14" spans="1:14" x14ac:dyDescent="0.25">
      <c r="A14" s="39">
        <f t="shared" si="3"/>
        <v>11</v>
      </c>
      <c r="B14" s="18">
        <v>7</v>
      </c>
      <c r="C14" s="33" t="s">
        <v>139</v>
      </c>
      <c r="D14" s="18" t="s">
        <v>145</v>
      </c>
      <c r="E14" s="142">
        <v>2960</v>
      </c>
      <c r="F14" s="18">
        <v>2960</v>
      </c>
      <c r="G14" s="142">
        <v>10</v>
      </c>
      <c r="H14" s="18">
        <v>10</v>
      </c>
      <c r="I14" s="18">
        <v>100</v>
      </c>
      <c r="J14" s="34">
        <v>0.2</v>
      </c>
      <c r="K14" s="31">
        <f t="shared" si="2"/>
        <v>2.96</v>
      </c>
      <c r="L14" s="31">
        <f t="shared" si="0"/>
        <v>0.88800000000000001</v>
      </c>
      <c r="M14" s="31">
        <f t="shared" si="1"/>
        <v>5.92</v>
      </c>
      <c r="N14" s="31">
        <f t="shared" si="4"/>
        <v>9.7680000000000007</v>
      </c>
    </row>
    <row r="15" spans="1:14" x14ac:dyDescent="0.25">
      <c r="A15" s="39">
        <f t="shared" si="3"/>
        <v>12</v>
      </c>
      <c r="B15" s="18">
        <v>8</v>
      </c>
      <c r="C15" s="33" t="s">
        <v>146</v>
      </c>
      <c r="D15" s="18" t="s">
        <v>147</v>
      </c>
      <c r="E15" s="142">
        <v>16658</v>
      </c>
      <c r="F15" s="18">
        <v>16658</v>
      </c>
      <c r="G15" s="142">
        <v>10</v>
      </c>
      <c r="H15" s="18">
        <v>10</v>
      </c>
      <c r="I15" s="18">
        <v>100</v>
      </c>
      <c r="J15" s="34">
        <v>0.03</v>
      </c>
      <c r="K15" s="31">
        <f t="shared" si="2"/>
        <v>16.658000000000001</v>
      </c>
      <c r="L15" s="31">
        <f t="shared" si="0"/>
        <v>4.9973999999999998</v>
      </c>
      <c r="M15" s="31">
        <f t="shared" si="1"/>
        <v>4.9973999999999998</v>
      </c>
      <c r="N15" s="31">
        <f t="shared" si="4"/>
        <v>26.652799999999999</v>
      </c>
    </row>
    <row r="16" spans="1:14" x14ac:dyDescent="0.25">
      <c r="A16" s="39">
        <f t="shared" si="3"/>
        <v>13</v>
      </c>
      <c r="B16" s="18">
        <v>9</v>
      </c>
      <c r="C16" s="33" t="s">
        <v>148</v>
      </c>
      <c r="D16" s="18" t="s">
        <v>149</v>
      </c>
      <c r="E16" s="142">
        <v>12815</v>
      </c>
      <c r="F16" s="18">
        <v>12815</v>
      </c>
      <c r="G16" s="142">
        <v>10</v>
      </c>
      <c r="H16" s="18">
        <v>10</v>
      </c>
      <c r="I16" s="18">
        <v>100</v>
      </c>
      <c r="J16" s="34">
        <v>0.04</v>
      </c>
      <c r="K16" s="31">
        <f t="shared" si="2"/>
        <v>12.815</v>
      </c>
      <c r="L16" s="31">
        <f t="shared" si="0"/>
        <v>3.8445</v>
      </c>
      <c r="M16" s="31">
        <f t="shared" si="1"/>
        <v>5.1260000000000003</v>
      </c>
      <c r="N16" s="31">
        <f t="shared" si="4"/>
        <v>21.785500000000003</v>
      </c>
    </row>
    <row r="17" spans="1:14" x14ac:dyDescent="0.25">
      <c r="A17" s="39">
        <f t="shared" si="3"/>
        <v>14</v>
      </c>
      <c r="B17" s="18">
        <v>10</v>
      </c>
      <c r="C17" s="33" t="s">
        <v>150</v>
      </c>
      <c r="D17" s="18" t="s">
        <v>151</v>
      </c>
      <c r="E17" s="142">
        <v>6091</v>
      </c>
      <c r="F17" s="18">
        <v>6091</v>
      </c>
      <c r="G17" s="142">
        <v>10</v>
      </c>
      <c r="H17" s="18">
        <v>10</v>
      </c>
      <c r="I17" s="18">
        <v>100</v>
      </c>
      <c r="J17" s="34">
        <v>0.04</v>
      </c>
      <c r="K17" s="31">
        <f t="shared" si="2"/>
        <v>6.0910000000000002</v>
      </c>
      <c r="L17" s="31">
        <f t="shared" si="0"/>
        <v>1.8272999999999999</v>
      </c>
      <c r="M17" s="31">
        <f t="shared" si="1"/>
        <v>2.4364000000000003</v>
      </c>
      <c r="N17" s="31">
        <f t="shared" si="4"/>
        <v>10.354700000000001</v>
      </c>
    </row>
    <row r="18" spans="1:14" x14ac:dyDescent="0.25">
      <c r="A18" s="39">
        <f t="shared" si="3"/>
        <v>15</v>
      </c>
      <c r="B18" s="18">
        <v>10</v>
      </c>
      <c r="C18" s="33" t="s">
        <v>150</v>
      </c>
      <c r="D18" s="18" t="s">
        <v>152</v>
      </c>
      <c r="E18" s="142">
        <v>7608</v>
      </c>
      <c r="F18" s="18">
        <v>7608</v>
      </c>
      <c r="G18" s="142">
        <v>10</v>
      </c>
      <c r="H18" s="18">
        <v>10</v>
      </c>
      <c r="I18" s="18">
        <v>100</v>
      </c>
      <c r="J18" s="34">
        <v>0.04</v>
      </c>
      <c r="K18" s="31">
        <f t="shared" si="2"/>
        <v>7.6079999999999997</v>
      </c>
      <c r="L18" s="31">
        <f t="shared" si="0"/>
        <v>2.2824</v>
      </c>
      <c r="M18" s="31">
        <f t="shared" si="1"/>
        <v>3.0432000000000001</v>
      </c>
      <c r="N18" s="31">
        <f t="shared" si="4"/>
        <v>12.9336</v>
      </c>
    </row>
    <row r="19" spans="1:14" x14ac:dyDescent="0.25">
      <c r="A19" s="39">
        <f t="shared" si="3"/>
        <v>16</v>
      </c>
      <c r="B19" s="18">
        <v>11</v>
      </c>
      <c r="C19" s="33" t="s">
        <v>153</v>
      </c>
      <c r="D19" s="18" t="s">
        <v>154</v>
      </c>
      <c r="E19" s="142">
        <v>10723</v>
      </c>
      <c r="F19" s="18">
        <v>10723</v>
      </c>
      <c r="G19" s="142">
        <v>10</v>
      </c>
      <c r="H19" s="18">
        <v>10</v>
      </c>
      <c r="I19" s="18">
        <v>100</v>
      </c>
      <c r="J19" s="34">
        <v>0.04</v>
      </c>
      <c r="K19" s="31">
        <f t="shared" si="2"/>
        <v>10.723000000000001</v>
      </c>
      <c r="L19" s="31">
        <f t="shared" si="0"/>
        <v>3.2168999999999999</v>
      </c>
      <c r="M19" s="31">
        <f t="shared" si="1"/>
        <v>4.2892000000000001</v>
      </c>
      <c r="N19" s="31">
        <f t="shared" si="4"/>
        <v>18.229100000000003</v>
      </c>
    </row>
    <row r="20" spans="1:14" x14ac:dyDescent="0.25">
      <c r="A20" s="39">
        <f t="shared" si="3"/>
        <v>17</v>
      </c>
      <c r="B20" s="18">
        <v>11</v>
      </c>
      <c r="C20" s="33" t="s">
        <v>153</v>
      </c>
      <c r="D20" s="18" t="s">
        <v>155</v>
      </c>
      <c r="E20" s="142">
        <v>13403</v>
      </c>
      <c r="F20" s="18">
        <v>13403</v>
      </c>
      <c r="G20" s="142">
        <v>10</v>
      </c>
      <c r="H20" s="18">
        <v>10</v>
      </c>
      <c r="I20" s="18">
        <v>100</v>
      </c>
      <c r="J20" s="34">
        <v>0.04</v>
      </c>
      <c r="K20" s="31">
        <f t="shared" si="2"/>
        <v>13.403</v>
      </c>
      <c r="L20" s="31">
        <f t="shared" si="0"/>
        <v>4.0209000000000001</v>
      </c>
      <c r="M20" s="31">
        <f t="shared" si="1"/>
        <v>5.3612000000000002</v>
      </c>
      <c r="N20" s="31">
        <f t="shared" si="4"/>
        <v>22.7851</v>
      </c>
    </row>
    <row r="21" spans="1:14" x14ac:dyDescent="0.25">
      <c r="A21" s="39">
        <f t="shared" si="3"/>
        <v>18</v>
      </c>
      <c r="B21" s="18">
        <v>12</v>
      </c>
      <c r="C21" s="33" t="s">
        <v>156</v>
      </c>
      <c r="D21" s="18" t="s">
        <v>157</v>
      </c>
      <c r="E21" s="142">
        <v>1380</v>
      </c>
      <c r="F21" s="18">
        <v>1380</v>
      </c>
      <c r="G21" s="142">
        <v>10</v>
      </c>
      <c r="H21" s="18">
        <v>10</v>
      </c>
      <c r="I21" s="18">
        <v>100</v>
      </c>
      <c r="J21" s="34">
        <v>7.0000000000000007E-2</v>
      </c>
      <c r="K21" s="31">
        <f t="shared" si="2"/>
        <v>1.38</v>
      </c>
      <c r="L21" s="31">
        <f t="shared" si="0"/>
        <v>0.41399999999999998</v>
      </c>
      <c r="M21" s="31">
        <f t="shared" si="1"/>
        <v>0.96600000000000008</v>
      </c>
      <c r="N21" s="31">
        <f t="shared" si="4"/>
        <v>2.76</v>
      </c>
    </row>
    <row r="22" spans="1:14" x14ac:dyDescent="0.25">
      <c r="A22" s="39">
        <f t="shared" si="3"/>
        <v>19</v>
      </c>
      <c r="B22" s="18">
        <v>12</v>
      </c>
      <c r="C22" s="33" t="s">
        <v>156</v>
      </c>
      <c r="D22" s="18" t="s">
        <v>158</v>
      </c>
      <c r="E22" s="142">
        <v>1613</v>
      </c>
      <c r="F22" s="18">
        <v>1600</v>
      </c>
      <c r="G22" s="142">
        <v>10</v>
      </c>
      <c r="H22" s="18">
        <v>10</v>
      </c>
      <c r="I22" s="18">
        <v>100</v>
      </c>
      <c r="J22" s="34">
        <v>7.0000000000000007E-2</v>
      </c>
      <c r="K22" s="31">
        <f t="shared" si="2"/>
        <v>1.6</v>
      </c>
      <c r="L22" s="31">
        <f t="shared" si="0"/>
        <v>0.48</v>
      </c>
      <c r="M22" s="31">
        <f t="shared" si="1"/>
        <v>1.1200000000000001</v>
      </c>
      <c r="N22" s="31">
        <f t="shared" si="4"/>
        <v>3.2</v>
      </c>
    </row>
    <row r="23" spans="1:14" x14ac:dyDescent="0.25">
      <c r="A23" s="39">
        <f t="shared" si="3"/>
        <v>20</v>
      </c>
      <c r="B23" s="18">
        <v>12</v>
      </c>
      <c r="C23" s="33" t="s">
        <v>156</v>
      </c>
      <c r="D23" s="18" t="s">
        <v>159</v>
      </c>
      <c r="E23" s="142">
        <v>1843</v>
      </c>
      <c r="F23" s="18">
        <v>1843</v>
      </c>
      <c r="G23" s="142">
        <v>10</v>
      </c>
      <c r="H23" s="18">
        <v>10</v>
      </c>
      <c r="I23" s="18">
        <v>100</v>
      </c>
      <c r="J23" s="34">
        <v>7.0000000000000007E-2</v>
      </c>
      <c r="K23" s="31">
        <f t="shared" si="2"/>
        <v>1.843</v>
      </c>
      <c r="L23" s="31">
        <f t="shared" si="0"/>
        <v>0.55289999999999995</v>
      </c>
      <c r="M23" s="31">
        <f t="shared" si="1"/>
        <v>1.2901000000000002</v>
      </c>
      <c r="N23" s="31">
        <f t="shared" si="4"/>
        <v>3.6860000000000004</v>
      </c>
    </row>
    <row r="24" spans="1:14" x14ac:dyDescent="0.25">
      <c r="A24" s="39">
        <f t="shared" si="3"/>
        <v>21</v>
      </c>
      <c r="B24" s="18">
        <v>12</v>
      </c>
      <c r="C24" s="33" t="s">
        <v>156</v>
      </c>
      <c r="D24" s="18" t="s">
        <v>160</v>
      </c>
      <c r="E24" s="142">
        <v>2072</v>
      </c>
      <c r="F24" s="18">
        <v>2072</v>
      </c>
      <c r="G24" s="142">
        <v>10</v>
      </c>
      <c r="H24" s="18">
        <v>10</v>
      </c>
      <c r="I24" s="18">
        <v>100</v>
      </c>
      <c r="J24" s="34">
        <v>7.0000000000000007E-2</v>
      </c>
      <c r="K24" s="31">
        <f t="shared" si="2"/>
        <v>2.0720000000000001</v>
      </c>
      <c r="L24" s="31">
        <f t="shared" si="0"/>
        <v>0.62159999999999993</v>
      </c>
      <c r="M24" s="31">
        <f t="shared" si="1"/>
        <v>1.4504000000000001</v>
      </c>
      <c r="N24" s="31">
        <f t="shared" si="4"/>
        <v>4.1440000000000001</v>
      </c>
    </row>
    <row r="25" spans="1:14" x14ac:dyDescent="0.25">
      <c r="A25" s="39">
        <f t="shared" si="3"/>
        <v>22</v>
      </c>
      <c r="B25" s="18">
        <v>12</v>
      </c>
      <c r="C25" s="33" t="s">
        <v>156</v>
      </c>
      <c r="D25" s="18" t="s">
        <v>161</v>
      </c>
      <c r="E25" s="142">
        <v>2301</v>
      </c>
      <c r="F25" s="18">
        <v>2301</v>
      </c>
      <c r="G25" s="142">
        <v>10</v>
      </c>
      <c r="H25" s="18">
        <v>10</v>
      </c>
      <c r="I25" s="18">
        <v>100</v>
      </c>
      <c r="J25" s="34">
        <v>7.0000000000000007E-2</v>
      </c>
      <c r="K25" s="31">
        <f t="shared" si="2"/>
        <v>2.3010000000000002</v>
      </c>
      <c r="L25" s="31">
        <f t="shared" si="0"/>
        <v>0.69030000000000002</v>
      </c>
      <c r="M25" s="31">
        <f t="shared" si="1"/>
        <v>1.6107000000000002</v>
      </c>
      <c r="N25" s="31">
        <f t="shared" si="4"/>
        <v>4.6020000000000003</v>
      </c>
    </row>
    <row r="26" spans="1:14" x14ac:dyDescent="0.25">
      <c r="A26" s="39">
        <f t="shared" si="3"/>
        <v>23</v>
      </c>
      <c r="B26" s="18">
        <v>13</v>
      </c>
      <c r="C26" s="33" t="s">
        <v>162</v>
      </c>
      <c r="D26" s="18" t="s">
        <v>163</v>
      </c>
      <c r="E26" s="142">
        <v>2389</v>
      </c>
      <c r="F26" s="18">
        <v>2389</v>
      </c>
      <c r="G26" s="142">
        <v>10</v>
      </c>
      <c r="H26" s="18">
        <v>10</v>
      </c>
      <c r="I26" s="18">
        <v>100</v>
      </c>
      <c r="J26" s="34">
        <v>7.0000000000000007E-2</v>
      </c>
      <c r="K26" s="31">
        <f t="shared" si="2"/>
        <v>2.3889999999999998</v>
      </c>
      <c r="L26" s="31">
        <f t="shared" si="0"/>
        <v>0.7167</v>
      </c>
      <c r="M26" s="31">
        <f t="shared" si="1"/>
        <v>1.6723000000000001</v>
      </c>
      <c r="N26" s="31">
        <f t="shared" si="4"/>
        <v>4.7779999999999996</v>
      </c>
    </row>
    <row r="27" spans="1:14" x14ac:dyDescent="0.25">
      <c r="A27" s="39">
        <f t="shared" si="3"/>
        <v>24</v>
      </c>
      <c r="B27" s="18">
        <v>13</v>
      </c>
      <c r="C27" s="33" t="s">
        <v>162</v>
      </c>
      <c r="D27" s="18" t="s">
        <v>164</v>
      </c>
      <c r="E27" s="142">
        <v>2576</v>
      </c>
      <c r="F27" s="18">
        <v>2570</v>
      </c>
      <c r="G27" s="142">
        <v>10</v>
      </c>
      <c r="H27" s="18">
        <v>10</v>
      </c>
      <c r="I27" s="18">
        <v>100</v>
      </c>
      <c r="J27" s="34">
        <v>7.0000000000000007E-2</v>
      </c>
      <c r="K27" s="31">
        <f t="shared" si="2"/>
        <v>2.57</v>
      </c>
      <c r="L27" s="31">
        <f t="shared" si="0"/>
        <v>0.77099999999999991</v>
      </c>
      <c r="M27" s="31">
        <f t="shared" si="1"/>
        <v>1.7990000000000002</v>
      </c>
      <c r="N27" s="31">
        <f t="shared" si="4"/>
        <v>5.14</v>
      </c>
    </row>
    <row r="28" spans="1:14" x14ac:dyDescent="0.25">
      <c r="A28" s="39">
        <f t="shared" si="3"/>
        <v>25</v>
      </c>
      <c r="B28" s="18">
        <v>14</v>
      </c>
      <c r="C28" s="33" t="s">
        <v>165</v>
      </c>
      <c r="D28" s="18" t="s">
        <v>166</v>
      </c>
      <c r="E28" s="142">
        <v>3844</v>
      </c>
      <c r="F28" s="18">
        <v>3844</v>
      </c>
      <c r="G28" s="142">
        <v>10</v>
      </c>
      <c r="H28" s="18">
        <v>10</v>
      </c>
      <c r="I28" s="18">
        <v>100</v>
      </c>
      <c r="J28" s="34">
        <v>7.0000000000000007E-2</v>
      </c>
      <c r="K28" s="31">
        <f t="shared" si="2"/>
        <v>3.8439999999999999</v>
      </c>
      <c r="L28" s="31">
        <f t="shared" si="0"/>
        <v>1.1531999999999998</v>
      </c>
      <c r="M28" s="31">
        <f t="shared" si="1"/>
        <v>2.6908000000000003</v>
      </c>
      <c r="N28" s="31">
        <f t="shared" si="4"/>
        <v>7.6879999999999997</v>
      </c>
    </row>
    <row r="29" spans="1:14" x14ac:dyDescent="0.25">
      <c r="A29" s="39">
        <f t="shared" si="3"/>
        <v>26</v>
      </c>
      <c r="B29" s="18">
        <v>14</v>
      </c>
      <c r="C29" s="33" t="s">
        <v>165</v>
      </c>
      <c r="D29" s="18" t="s">
        <v>167</v>
      </c>
      <c r="E29" s="142">
        <v>4152</v>
      </c>
      <c r="F29" s="18">
        <v>4152</v>
      </c>
      <c r="G29" s="142">
        <v>10</v>
      </c>
      <c r="H29" s="18">
        <v>10</v>
      </c>
      <c r="I29" s="18">
        <v>100</v>
      </c>
      <c r="J29" s="34">
        <v>0.7</v>
      </c>
      <c r="K29" s="31">
        <f t="shared" si="2"/>
        <v>4.1520000000000001</v>
      </c>
      <c r="L29" s="31">
        <f t="shared" si="0"/>
        <v>1.2456</v>
      </c>
      <c r="M29" s="31">
        <f t="shared" si="1"/>
        <v>29.063999999999997</v>
      </c>
      <c r="N29" s="31">
        <f t="shared" si="4"/>
        <v>34.461599999999997</v>
      </c>
    </row>
    <row r="30" spans="1:14" x14ac:dyDescent="0.25">
      <c r="A30" s="39">
        <f t="shared" si="3"/>
        <v>27</v>
      </c>
      <c r="B30" s="18">
        <v>14</v>
      </c>
      <c r="C30" s="33" t="s">
        <v>165</v>
      </c>
      <c r="D30" s="18" t="s">
        <v>168</v>
      </c>
      <c r="E30" s="142">
        <v>4461</v>
      </c>
      <c r="F30" s="18">
        <v>4461</v>
      </c>
      <c r="G30" s="142">
        <v>10</v>
      </c>
      <c r="H30" s="18">
        <v>10</v>
      </c>
      <c r="I30" s="18">
        <v>100</v>
      </c>
      <c r="J30" s="34">
        <v>7.0000000000000007E-2</v>
      </c>
      <c r="K30" s="31">
        <f t="shared" si="2"/>
        <v>4.4610000000000003</v>
      </c>
      <c r="L30" s="31">
        <f t="shared" si="0"/>
        <v>1.3382999999999998</v>
      </c>
      <c r="M30" s="31">
        <f t="shared" si="1"/>
        <v>3.1227000000000005</v>
      </c>
      <c r="N30" s="31">
        <f t="shared" si="4"/>
        <v>8.9220000000000006</v>
      </c>
    </row>
    <row r="31" spans="1:14" x14ac:dyDescent="0.25">
      <c r="A31" s="39">
        <f t="shared" si="3"/>
        <v>28</v>
      </c>
      <c r="B31" s="18">
        <v>14</v>
      </c>
      <c r="C31" s="33" t="s">
        <v>165</v>
      </c>
      <c r="D31" s="18" t="s">
        <v>169</v>
      </c>
      <c r="E31" s="142">
        <v>4919</v>
      </c>
      <c r="F31" s="18">
        <v>4919</v>
      </c>
      <c r="G31" s="142">
        <v>10</v>
      </c>
      <c r="H31" s="18">
        <v>10</v>
      </c>
      <c r="I31" s="18">
        <v>100</v>
      </c>
      <c r="J31" s="34">
        <v>7.0000000000000007E-2</v>
      </c>
      <c r="K31" s="31">
        <f t="shared" si="2"/>
        <v>4.9189999999999996</v>
      </c>
      <c r="L31" s="31">
        <f t="shared" si="0"/>
        <v>1.4756999999999998</v>
      </c>
      <c r="M31" s="31">
        <f t="shared" si="1"/>
        <v>3.4433000000000002</v>
      </c>
      <c r="N31" s="31">
        <f t="shared" si="4"/>
        <v>9.8379999999999992</v>
      </c>
    </row>
    <row r="32" spans="1:14" x14ac:dyDescent="0.25">
      <c r="A32" s="39">
        <f t="shared" si="3"/>
        <v>29</v>
      </c>
      <c r="B32" s="18">
        <v>14</v>
      </c>
      <c r="C32" s="33" t="s">
        <v>165</v>
      </c>
      <c r="D32" s="18" t="s">
        <v>170</v>
      </c>
      <c r="E32" s="142">
        <v>5378</v>
      </c>
      <c r="F32" s="18">
        <v>5378</v>
      </c>
      <c r="G32" s="142">
        <v>10</v>
      </c>
      <c r="H32" s="18">
        <v>10</v>
      </c>
      <c r="I32" s="18">
        <v>100</v>
      </c>
      <c r="J32" s="34">
        <v>7.0000000000000007E-2</v>
      </c>
      <c r="K32" s="31">
        <f t="shared" si="2"/>
        <v>5.3780000000000001</v>
      </c>
      <c r="L32" s="31">
        <f t="shared" si="0"/>
        <v>1.6133999999999999</v>
      </c>
      <c r="M32" s="31">
        <f t="shared" si="1"/>
        <v>3.7646000000000002</v>
      </c>
      <c r="N32" s="31">
        <f t="shared" si="4"/>
        <v>10.756</v>
      </c>
    </row>
    <row r="33" spans="1:14" x14ac:dyDescent="0.25">
      <c r="A33" s="39">
        <f t="shared" si="3"/>
        <v>30</v>
      </c>
      <c r="B33" s="18">
        <v>14</v>
      </c>
      <c r="C33" s="33" t="s">
        <v>165</v>
      </c>
      <c r="D33" s="18" t="s">
        <v>171</v>
      </c>
      <c r="E33" s="142">
        <v>6003</v>
      </c>
      <c r="F33" s="18">
        <v>6003</v>
      </c>
      <c r="G33" s="142">
        <v>10</v>
      </c>
      <c r="H33" s="18">
        <v>10</v>
      </c>
      <c r="I33" s="18">
        <v>100</v>
      </c>
      <c r="J33" s="34">
        <v>7.0000000000000007E-2</v>
      </c>
      <c r="K33" s="31">
        <f t="shared" si="2"/>
        <v>6.0030000000000001</v>
      </c>
      <c r="L33" s="31">
        <f t="shared" si="0"/>
        <v>1.8008999999999999</v>
      </c>
      <c r="M33" s="31">
        <f t="shared" si="1"/>
        <v>4.2021000000000006</v>
      </c>
      <c r="N33" s="31">
        <f t="shared" si="4"/>
        <v>12.006</v>
      </c>
    </row>
    <row r="34" spans="1:14" x14ac:dyDescent="0.25">
      <c r="A34" s="39">
        <f t="shared" si="3"/>
        <v>31</v>
      </c>
      <c r="B34" s="18">
        <v>14</v>
      </c>
      <c r="C34" s="33" t="s">
        <v>165</v>
      </c>
      <c r="D34" s="18" t="s">
        <v>172</v>
      </c>
      <c r="E34" s="142">
        <v>6629</v>
      </c>
      <c r="F34" s="18">
        <v>6629</v>
      </c>
      <c r="G34" s="142">
        <v>10</v>
      </c>
      <c r="H34" s="18">
        <v>10</v>
      </c>
      <c r="I34" s="18">
        <v>100</v>
      </c>
      <c r="J34" s="34">
        <v>7.0000000000000007E-2</v>
      </c>
      <c r="K34" s="31">
        <f t="shared" si="2"/>
        <v>6.6289999999999996</v>
      </c>
      <c r="L34" s="31">
        <f t="shared" si="0"/>
        <v>1.9887000000000001</v>
      </c>
      <c r="M34" s="31">
        <f t="shared" si="1"/>
        <v>4.6402999999999999</v>
      </c>
      <c r="N34" s="31">
        <f t="shared" si="4"/>
        <v>13.257999999999999</v>
      </c>
    </row>
    <row r="35" spans="1:14" x14ac:dyDescent="0.25">
      <c r="A35" s="39">
        <f t="shared" si="3"/>
        <v>32</v>
      </c>
      <c r="B35" s="18">
        <v>14</v>
      </c>
      <c r="C35" s="33" t="s">
        <v>165</v>
      </c>
      <c r="D35" s="18" t="s">
        <v>173</v>
      </c>
      <c r="E35" s="142">
        <v>7087</v>
      </c>
      <c r="F35" s="18">
        <v>7087</v>
      </c>
      <c r="G35" s="142">
        <v>10</v>
      </c>
      <c r="H35" s="18">
        <v>10</v>
      </c>
      <c r="I35" s="18">
        <v>100</v>
      </c>
      <c r="J35" s="34">
        <v>7.0000000000000007E-2</v>
      </c>
      <c r="K35" s="31">
        <f t="shared" si="2"/>
        <v>7.0869999999999997</v>
      </c>
      <c r="L35" s="31">
        <f t="shared" si="0"/>
        <v>2.1261000000000001</v>
      </c>
      <c r="M35" s="31">
        <f t="shared" si="1"/>
        <v>4.9609000000000005</v>
      </c>
      <c r="N35" s="31">
        <f t="shared" si="4"/>
        <v>14.174000000000001</v>
      </c>
    </row>
    <row r="36" spans="1:14" x14ac:dyDescent="0.25">
      <c r="A36" s="39">
        <f t="shared" si="3"/>
        <v>33</v>
      </c>
      <c r="B36" s="18">
        <v>14</v>
      </c>
      <c r="C36" s="33" t="s">
        <v>165</v>
      </c>
      <c r="D36" s="18" t="s">
        <v>174</v>
      </c>
      <c r="E36" s="142">
        <v>7838</v>
      </c>
      <c r="F36" s="18">
        <v>7838</v>
      </c>
      <c r="G36" s="142">
        <v>10</v>
      </c>
      <c r="H36" s="18">
        <v>10</v>
      </c>
      <c r="I36" s="18">
        <v>100</v>
      </c>
      <c r="J36" s="34">
        <v>7.0000000000000007E-2</v>
      </c>
      <c r="K36" s="31">
        <f t="shared" si="2"/>
        <v>7.8380000000000001</v>
      </c>
      <c r="L36" s="31">
        <f t="shared" si="0"/>
        <v>2.3513999999999999</v>
      </c>
      <c r="M36" s="31">
        <f t="shared" si="1"/>
        <v>5.486600000000001</v>
      </c>
      <c r="N36" s="31">
        <f t="shared" si="4"/>
        <v>15.676</v>
      </c>
    </row>
    <row r="37" spans="1:14" x14ac:dyDescent="0.25">
      <c r="A37" s="39">
        <f t="shared" si="3"/>
        <v>34</v>
      </c>
      <c r="B37" s="18">
        <v>15</v>
      </c>
      <c r="C37" s="33" t="s">
        <v>175</v>
      </c>
      <c r="D37" s="18" t="s">
        <v>176</v>
      </c>
      <c r="E37" s="142">
        <v>1413</v>
      </c>
      <c r="F37" s="18">
        <v>1413</v>
      </c>
      <c r="G37" s="142">
        <v>10</v>
      </c>
      <c r="H37" s="18">
        <v>10</v>
      </c>
      <c r="I37" s="18">
        <v>100</v>
      </c>
      <c r="J37" s="34">
        <v>0.13</v>
      </c>
      <c r="K37" s="31">
        <f t="shared" si="2"/>
        <v>1.413</v>
      </c>
      <c r="L37" s="31">
        <f t="shared" si="0"/>
        <v>0.4239</v>
      </c>
      <c r="M37" s="31">
        <f t="shared" si="1"/>
        <v>1.8369</v>
      </c>
      <c r="N37" s="31">
        <f t="shared" si="4"/>
        <v>3.6738</v>
      </c>
    </row>
    <row r="38" spans="1:14" x14ac:dyDescent="0.25">
      <c r="A38" s="39">
        <f t="shared" si="3"/>
        <v>35</v>
      </c>
      <c r="B38" s="18">
        <v>15</v>
      </c>
      <c r="C38" s="33" t="s">
        <v>175</v>
      </c>
      <c r="D38" s="18" t="s">
        <v>177</v>
      </c>
      <c r="E38" s="142">
        <v>1697</v>
      </c>
      <c r="F38" s="18">
        <v>1697</v>
      </c>
      <c r="G38" s="142">
        <v>10</v>
      </c>
      <c r="H38" s="18">
        <v>10</v>
      </c>
      <c r="I38" s="18">
        <v>100</v>
      </c>
      <c r="J38" s="34">
        <v>0.13</v>
      </c>
      <c r="K38" s="31">
        <f t="shared" si="2"/>
        <v>1.6970000000000001</v>
      </c>
      <c r="L38" s="31">
        <f t="shared" si="0"/>
        <v>0.5091</v>
      </c>
      <c r="M38" s="31">
        <f t="shared" si="1"/>
        <v>2.2061000000000002</v>
      </c>
      <c r="N38" s="31">
        <f t="shared" si="4"/>
        <v>4.4122000000000003</v>
      </c>
    </row>
    <row r="39" spans="1:14" x14ac:dyDescent="0.25">
      <c r="A39" s="39">
        <f t="shared" si="3"/>
        <v>36</v>
      </c>
      <c r="B39" s="18">
        <v>16</v>
      </c>
      <c r="C39" s="33" t="s">
        <v>178</v>
      </c>
      <c r="D39" s="18" t="s">
        <v>176</v>
      </c>
      <c r="E39" s="142">
        <v>2543</v>
      </c>
      <c r="F39" s="18">
        <v>2543</v>
      </c>
      <c r="G39" s="142">
        <v>10</v>
      </c>
      <c r="H39" s="18">
        <v>10</v>
      </c>
      <c r="I39" s="18">
        <v>100</v>
      </c>
      <c r="J39" s="34">
        <v>0.13</v>
      </c>
      <c r="K39" s="31">
        <f t="shared" si="2"/>
        <v>2.5430000000000001</v>
      </c>
      <c r="L39" s="31">
        <f t="shared" si="0"/>
        <v>0.76289999999999991</v>
      </c>
      <c r="M39" s="31">
        <f t="shared" si="1"/>
        <v>3.3059000000000003</v>
      </c>
      <c r="N39" s="31">
        <f t="shared" si="4"/>
        <v>6.6118000000000006</v>
      </c>
    </row>
    <row r="40" spans="1:14" x14ac:dyDescent="0.25">
      <c r="A40" s="39">
        <f t="shared" si="3"/>
        <v>37</v>
      </c>
      <c r="B40" s="18">
        <v>16</v>
      </c>
      <c r="C40" s="33" t="s">
        <v>178</v>
      </c>
      <c r="D40" s="18" t="s">
        <v>177</v>
      </c>
      <c r="E40" s="142">
        <v>3056</v>
      </c>
      <c r="F40" s="18">
        <v>3056</v>
      </c>
      <c r="G40" s="142">
        <v>10</v>
      </c>
      <c r="H40" s="18">
        <v>10</v>
      </c>
      <c r="I40" s="18">
        <v>100</v>
      </c>
      <c r="J40" s="34">
        <v>0.13</v>
      </c>
      <c r="K40" s="31">
        <f t="shared" si="2"/>
        <v>3.056</v>
      </c>
      <c r="L40" s="31">
        <f t="shared" si="0"/>
        <v>0.91679999999999995</v>
      </c>
      <c r="M40" s="31">
        <f t="shared" si="1"/>
        <v>3.9728000000000003</v>
      </c>
      <c r="N40" s="31">
        <f t="shared" si="4"/>
        <v>7.9456000000000007</v>
      </c>
    </row>
    <row r="41" spans="1:14" x14ac:dyDescent="0.25">
      <c r="A41" s="39">
        <f t="shared" si="3"/>
        <v>38</v>
      </c>
      <c r="B41" s="18">
        <v>17</v>
      </c>
      <c r="C41" s="33" t="s">
        <v>179</v>
      </c>
      <c r="D41" s="18" t="s">
        <v>180</v>
      </c>
      <c r="E41" s="142">
        <v>2226</v>
      </c>
      <c r="F41" s="18">
        <v>2226</v>
      </c>
      <c r="G41" s="142">
        <v>10</v>
      </c>
      <c r="H41" s="18">
        <v>10</v>
      </c>
      <c r="I41" s="18">
        <v>100</v>
      </c>
      <c r="J41" s="34">
        <v>7.0000000000000007E-2</v>
      </c>
      <c r="K41" s="31">
        <f t="shared" si="2"/>
        <v>2.226</v>
      </c>
      <c r="L41" s="31">
        <f t="shared" si="0"/>
        <v>0.66780000000000006</v>
      </c>
      <c r="M41" s="31">
        <f t="shared" si="1"/>
        <v>1.5582000000000003</v>
      </c>
      <c r="N41" s="31">
        <f t="shared" si="4"/>
        <v>4.452</v>
      </c>
    </row>
    <row r="42" spans="1:14" x14ac:dyDescent="0.25">
      <c r="A42" s="39">
        <f t="shared" si="3"/>
        <v>39</v>
      </c>
      <c r="B42" s="18">
        <v>17</v>
      </c>
      <c r="C42" s="33" t="s">
        <v>179</v>
      </c>
      <c r="D42" s="18" t="s">
        <v>181</v>
      </c>
      <c r="E42" s="142">
        <v>3198</v>
      </c>
      <c r="F42" s="18">
        <v>3198</v>
      </c>
      <c r="G42" s="142">
        <v>10</v>
      </c>
      <c r="H42" s="18">
        <v>10</v>
      </c>
      <c r="I42" s="18">
        <v>100</v>
      </c>
      <c r="J42" s="34">
        <v>7.0000000000000007E-2</v>
      </c>
      <c r="K42" s="31">
        <f t="shared" si="2"/>
        <v>3.198</v>
      </c>
      <c r="L42" s="31">
        <f t="shared" si="0"/>
        <v>0.95940000000000003</v>
      </c>
      <c r="M42" s="31">
        <f t="shared" si="1"/>
        <v>2.2385999999999999</v>
      </c>
      <c r="N42" s="31">
        <f t="shared" si="4"/>
        <v>6.3959999999999999</v>
      </c>
    </row>
    <row r="43" spans="1:14" x14ac:dyDescent="0.25">
      <c r="A43" s="39">
        <f t="shared" si="3"/>
        <v>40</v>
      </c>
      <c r="B43" s="18">
        <v>17</v>
      </c>
      <c r="C43" s="33" t="s">
        <v>179</v>
      </c>
      <c r="D43" s="18" t="s">
        <v>182</v>
      </c>
      <c r="E43" s="142">
        <v>4169</v>
      </c>
      <c r="F43" s="18">
        <v>4169</v>
      </c>
      <c r="G43" s="142">
        <v>10</v>
      </c>
      <c r="H43" s="18">
        <v>10</v>
      </c>
      <c r="I43" s="18">
        <v>100</v>
      </c>
      <c r="J43" s="34">
        <v>7.0000000000000007E-2</v>
      </c>
      <c r="K43" s="31">
        <f t="shared" si="2"/>
        <v>4.1689999999999996</v>
      </c>
      <c r="L43" s="31">
        <f t="shared" si="0"/>
        <v>1.2506999999999999</v>
      </c>
      <c r="M43" s="31">
        <f t="shared" si="1"/>
        <v>2.9183000000000003</v>
      </c>
      <c r="N43" s="31">
        <f t="shared" si="4"/>
        <v>8.338000000000001</v>
      </c>
    </row>
    <row r="44" spans="1:14" x14ac:dyDescent="0.25">
      <c r="A44" s="39">
        <f t="shared" si="3"/>
        <v>41</v>
      </c>
      <c r="B44" s="18">
        <v>18</v>
      </c>
      <c r="C44" s="33" t="s">
        <v>183</v>
      </c>
      <c r="D44" s="18" t="s">
        <v>184</v>
      </c>
      <c r="E44" s="142">
        <v>1326</v>
      </c>
      <c r="F44" s="18">
        <v>1326</v>
      </c>
      <c r="G44" s="142">
        <v>10</v>
      </c>
      <c r="H44" s="18">
        <v>10</v>
      </c>
      <c r="I44" s="18">
        <v>100</v>
      </c>
      <c r="J44" s="34">
        <v>7.0000000000000007E-2</v>
      </c>
      <c r="K44" s="31">
        <f t="shared" si="2"/>
        <v>1.3260000000000001</v>
      </c>
      <c r="L44" s="31">
        <f t="shared" si="0"/>
        <v>0.39779999999999999</v>
      </c>
      <c r="M44" s="31">
        <f t="shared" si="1"/>
        <v>0.92820000000000003</v>
      </c>
      <c r="N44" s="31">
        <f t="shared" si="4"/>
        <v>2.6520000000000001</v>
      </c>
    </row>
    <row r="45" spans="1:14" x14ac:dyDescent="0.25">
      <c r="A45" s="39">
        <f t="shared" si="3"/>
        <v>42</v>
      </c>
      <c r="B45" s="18">
        <v>18</v>
      </c>
      <c r="C45" s="33" t="s">
        <v>183</v>
      </c>
      <c r="D45" s="18" t="s">
        <v>185</v>
      </c>
      <c r="E45" s="142">
        <v>1480</v>
      </c>
      <c r="F45" s="18">
        <v>1480</v>
      </c>
      <c r="G45" s="142">
        <v>10</v>
      </c>
      <c r="H45" s="18">
        <v>10</v>
      </c>
      <c r="I45" s="18">
        <v>100</v>
      </c>
      <c r="J45" s="34">
        <v>7.0000000000000007E-2</v>
      </c>
      <c r="K45" s="31">
        <f t="shared" si="2"/>
        <v>1.48</v>
      </c>
      <c r="L45" s="31">
        <f t="shared" si="0"/>
        <v>0.44400000000000001</v>
      </c>
      <c r="M45" s="31">
        <f t="shared" si="1"/>
        <v>1.036</v>
      </c>
      <c r="N45" s="31">
        <f t="shared" si="4"/>
        <v>2.96</v>
      </c>
    </row>
    <row r="46" spans="1:14" x14ac:dyDescent="0.25">
      <c r="A46" s="39">
        <f t="shared" si="3"/>
        <v>43</v>
      </c>
      <c r="B46" s="18">
        <v>19</v>
      </c>
      <c r="C46" s="33" t="s">
        <v>186</v>
      </c>
      <c r="D46" s="18" t="s">
        <v>187</v>
      </c>
      <c r="E46" s="142">
        <v>2147</v>
      </c>
      <c r="F46" s="18">
        <v>2147</v>
      </c>
      <c r="G46" s="142">
        <v>10</v>
      </c>
      <c r="H46" s="18">
        <v>10</v>
      </c>
      <c r="I46" s="18">
        <v>100</v>
      </c>
      <c r="J46" s="34">
        <v>0.05</v>
      </c>
      <c r="K46" s="31">
        <f t="shared" si="2"/>
        <v>2.1469999999999998</v>
      </c>
      <c r="L46" s="31">
        <f t="shared" si="0"/>
        <v>0.64409999999999989</v>
      </c>
      <c r="M46" s="31">
        <f t="shared" si="1"/>
        <v>1.0735000000000001</v>
      </c>
      <c r="N46" s="31">
        <f t="shared" si="4"/>
        <v>3.8645999999999998</v>
      </c>
    </row>
    <row r="47" spans="1:14" x14ac:dyDescent="0.25">
      <c r="A47" s="39">
        <f t="shared" si="3"/>
        <v>44</v>
      </c>
      <c r="B47" s="18">
        <v>19</v>
      </c>
      <c r="C47" s="33" t="s">
        <v>186</v>
      </c>
      <c r="D47" s="18" t="s">
        <v>188</v>
      </c>
      <c r="E47" s="142">
        <v>2393</v>
      </c>
      <c r="F47" s="18">
        <v>2393</v>
      </c>
      <c r="G47" s="142">
        <v>10</v>
      </c>
      <c r="H47" s="18">
        <v>10</v>
      </c>
      <c r="I47" s="18">
        <v>100</v>
      </c>
      <c r="J47" s="34">
        <v>0.05</v>
      </c>
      <c r="K47" s="31">
        <f t="shared" si="2"/>
        <v>2.3929999999999998</v>
      </c>
      <c r="L47" s="31">
        <f t="shared" si="0"/>
        <v>0.71789999999999998</v>
      </c>
      <c r="M47" s="31">
        <f t="shared" si="1"/>
        <v>1.1965000000000001</v>
      </c>
      <c r="N47" s="31">
        <f t="shared" si="4"/>
        <v>4.3074000000000003</v>
      </c>
    </row>
    <row r="48" spans="1:14" x14ac:dyDescent="0.25">
      <c r="A48" s="39">
        <f t="shared" si="3"/>
        <v>45</v>
      </c>
      <c r="B48" s="18">
        <v>19</v>
      </c>
      <c r="C48" s="33" t="s">
        <v>186</v>
      </c>
      <c r="D48" s="18" t="s">
        <v>189</v>
      </c>
      <c r="E48" s="142">
        <v>2639</v>
      </c>
      <c r="F48" s="18">
        <v>2630</v>
      </c>
      <c r="G48" s="142">
        <v>10</v>
      </c>
      <c r="H48" s="18">
        <v>10</v>
      </c>
      <c r="I48" s="18">
        <v>100</v>
      </c>
      <c r="J48" s="34">
        <v>0.05</v>
      </c>
      <c r="K48" s="31">
        <f t="shared" si="2"/>
        <v>2.63</v>
      </c>
      <c r="L48" s="31">
        <f t="shared" si="0"/>
        <v>0.78900000000000003</v>
      </c>
      <c r="M48" s="31">
        <f t="shared" si="1"/>
        <v>1.3149999999999999</v>
      </c>
      <c r="N48" s="31">
        <f t="shared" si="4"/>
        <v>4.734</v>
      </c>
    </row>
    <row r="49" spans="1:14" x14ac:dyDescent="0.25">
      <c r="A49" s="39">
        <f t="shared" si="3"/>
        <v>46</v>
      </c>
      <c r="B49" s="18">
        <v>19</v>
      </c>
      <c r="C49" s="33" t="s">
        <v>186</v>
      </c>
      <c r="D49" s="18" t="s">
        <v>190</v>
      </c>
      <c r="E49" s="142">
        <v>2885</v>
      </c>
      <c r="F49" s="18">
        <v>2885</v>
      </c>
      <c r="G49" s="142">
        <v>10</v>
      </c>
      <c r="H49" s="18">
        <v>10</v>
      </c>
      <c r="I49" s="18">
        <v>100</v>
      </c>
      <c r="J49" s="34">
        <v>0.05</v>
      </c>
      <c r="K49" s="31">
        <f t="shared" si="2"/>
        <v>2.8849999999999998</v>
      </c>
      <c r="L49" s="31">
        <f t="shared" si="0"/>
        <v>0.86550000000000005</v>
      </c>
      <c r="M49" s="31">
        <f t="shared" si="1"/>
        <v>1.4424999999999999</v>
      </c>
      <c r="N49" s="31">
        <f t="shared" si="4"/>
        <v>5.1929999999999996</v>
      </c>
    </row>
    <row r="50" spans="1:14" x14ac:dyDescent="0.25">
      <c r="A50" s="39">
        <f t="shared" si="3"/>
        <v>47</v>
      </c>
      <c r="B50" s="18">
        <v>20</v>
      </c>
      <c r="C50" s="33" t="s">
        <v>191</v>
      </c>
      <c r="D50" s="18" t="s">
        <v>189</v>
      </c>
      <c r="E50" s="142">
        <v>6128</v>
      </c>
      <c r="F50" s="18">
        <v>6128</v>
      </c>
      <c r="G50" s="142">
        <v>10</v>
      </c>
      <c r="H50" s="18">
        <v>10</v>
      </c>
      <c r="I50" s="18">
        <v>100</v>
      </c>
      <c r="J50" s="34">
        <v>3.5000000000000003E-2</v>
      </c>
      <c r="K50" s="31">
        <f t="shared" si="2"/>
        <v>6.1280000000000001</v>
      </c>
      <c r="L50" s="31">
        <f t="shared" si="0"/>
        <v>1.8384</v>
      </c>
      <c r="M50" s="31">
        <f t="shared" si="1"/>
        <v>2.1448</v>
      </c>
      <c r="N50" s="31">
        <f t="shared" si="4"/>
        <v>10.1112</v>
      </c>
    </row>
    <row r="51" spans="1:14" x14ac:dyDescent="0.25">
      <c r="A51" s="39">
        <f t="shared" si="3"/>
        <v>48</v>
      </c>
      <c r="B51" s="18">
        <v>20</v>
      </c>
      <c r="C51" s="33" t="s">
        <v>191</v>
      </c>
      <c r="D51" s="18" t="s">
        <v>192</v>
      </c>
      <c r="E51" s="142">
        <v>6920</v>
      </c>
      <c r="F51" s="18">
        <v>6920</v>
      </c>
      <c r="G51" s="142">
        <v>10</v>
      </c>
      <c r="H51" s="18">
        <v>10</v>
      </c>
      <c r="I51" s="18">
        <v>100</v>
      </c>
      <c r="J51" s="34">
        <v>3.5000000000000003E-2</v>
      </c>
      <c r="K51" s="31">
        <f t="shared" si="2"/>
        <v>6.92</v>
      </c>
      <c r="L51" s="31">
        <f t="shared" si="0"/>
        <v>2.0760000000000001</v>
      </c>
      <c r="M51" s="31">
        <f t="shared" si="1"/>
        <v>2.4220000000000002</v>
      </c>
      <c r="N51" s="31">
        <f t="shared" si="4"/>
        <v>11.418000000000001</v>
      </c>
    </row>
    <row r="52" spans="1:14" x14ac:dyDescent="0.25">
      <c r="A52" s="39">
        <f t="shared" si="3"/>
        <v>49</v>
      </c>
      <c r="B52" s="18">
        <v>20</v>
      </c>
      <c r="C52" s="33" t="s">
        <v>191</v>
      </c>
      <c r="D52" s="18" t="s">
        <v>193</v>
      </c>
      <c r="E52" s="142">
        <v>7337</v>
      </c>
      <c r="F52" s="18">
        <v>7337</v>
      </c>
      <c r="G52" s="142">
        <v>10</v>
      </c>
      <c r="H52" s="18">
        <v>10</v>
      </c>
      <c r="I52" s="18">
        <v>100</v>
      </c>
      <c r="J52" s="34">
        <v>3.5000000000000003E-2</v>
      </c>
      <c r="K52" s="31">
        <f t="shared" si="2"/>
        <v>7.3369999999999997</v>
      </c>
      <c r="L52" s="31">
        <f t="shared" si="0"/>
        <v>2.2010999999999998</v>
      </c>
      <c r="M52" s="31">
        <f t="shared" si="1"/>
        <v>2.5679500000000002</v>
      </c>
      <c r="N52" s="31">
        <f t="shared" si="4"/>
        <v>12.10605</v>
      </c>
    </row>
    <row r="53" spans="1:14" x14ac:dyDescent="0.25">
      <c r="A53" s="39">
        <f t="shared" si="3"/>
        <v>50</v>
      </c>
      <c r="B53" s="18">
        <v>20</v>
      </c>
      <c r="C53" s="33" t="s">
        <v>191</v>
      </c>
      <c r="D53" s="18" t="s">
        <v>194</v>
      </c>
      <c r="E53" s="142">
        <v>8129</v>
      </c>
      <c r="F53" s="18">
        <v>8129</v>
      </c>
      <c r="G53" s="142">
        <v>10</v>
      </c>
      <c r="H53" s="18">
        <v>10</v>
      </c>
      <c r="I53" s="18">
        <v>100</v>
      </c>
      <c r="J53" s="34">
        <v>3.5000000000000003E-2</v>
      </c>
      <c r="K53" s="31">
        <f t="shared" si="2"/>
        <v>8.1289999999999996</v>
      </c>
      <c r="L53" s="31">
        <f t="shared" si="0"/>
        <v>2.4387000000000003</v>
      </c>
      <c r="M53" s="31">
        <f t="shared" si="1"/>
        <v>2.8451500000000003</v>
      </c>
      <c r="N53" s="31">
        <f t="shared" si="4"/>
        <v>13.412850000000001</v>
      </c>
    </row>
    <row r="54" spans="1:14" x14ac:dyDescent="0.25">
      <c r="A54" s="39">
        <f t="shared" si="3"/>
        <v>51</v>
      </c>
      <c r="B54" s="18">
        <v>20</v>
      </c>
      <c r="C54" s="33" t="s">
        <v>191</v>
      </c>
      <c r="D54" s="18" t="s">
        <v>195</v>
      </c>
      <c r="E54" s="142">
        <v>8922</v>
      </c>
      <c r="F54" s="18">
        <v>8922</v>
      </c>
      <c r="G54" s="142">
        <v>10</v>
      </c>
      <c r="H54" s="18">
        <v>10</v>
      </c>
      <c r="I54" s="18">
        <v>100</v>
      </c>
      <c r="J54" s="34">
        <v>3.5000000000000003E-2</v>
      </c>
      <c r="K54" s="31">
        <f t="shared" si="2"/>
        <v>8.9220000000000006</v>
      </c>
      <c r="L54" s="31">
        <f t="shared" si="0"/>
        <v>2.6765999999999996</v>
      </c>
      <c r="M54" s="31">
        <f t="shared" si="1"/>
        <v>3.1227000000000005</v>
      </c>
      <c r="N54" s="31">
        <f t="shared" si="4"/>
        <v>14.721300000000001</v>
      </c>
    </row>
    <row r="55" spans="1:14" x14ac:dyDescent="0.25">
      <c r="A55" s="39">
        <f t="shared" si="3"/>
        <v>52</v>
      </c>
      <c r="B55" s="18">
        <v>20</v>
      </c>
      <c r="C55" s="33" t="s">
        <v>191</v>
      </c>
      <c r="D55" s="18" t="s">
        <v>196</v>
      </c>
      <c r="E55" s="142">
        <v>9755</v>
      </c>
      <c r="F55" s="18">
        <v>9755</v>
      </c>
      <c r="G55" s="142">
        <v>10</v>
      </c>
      <c r="H55" s="18">
        <v>10</v>
      </c>
      <c r="I55" s="18">
        <v>100</v>
      </c>
      <c r="J55" s="34">
        <v>3.5000000000000003E-2</v>
      </c>
      <c r="K55" s="31">
        <f t="shared" si="2"/>
        <v>9.7550000000000008</v>
      </c>
      <c r="L55" s="31">
        <f t="shared" si="0"/>
        <v>2.9264999999999999</v>
      </c>
      <c r="M55" s="31">
        <f t="shared" si="1"/>
        <v>3.41425</v>
      </c>
      <c r="N55" s="31">
        <f t="shared" si="4"/>
        <v>16.095749999999999</v>
      </c>
    </row>
    <row r="56" spans="1:14" x14ac:dyDescent="0.25">
      <c r="A56" s="39">
        <f t="shared" si="3"/>
        <v>53</v>
      </c>
      <c r="B56" s="18">
        <v>20</v>
      </c>
      <c r="C56" s="33" t="s">
        <v>191</v>
      </c>
      <c r="D56" s="18" t="s">
        <v>197</v>
      </c>
      <c r="E56" s="142">
        <v>11340</v>
      </c>
      <c r="F56" s="18">
        <v>11340</v>
      </c>
      <c r="G56" s="142">
        <v>10</v>
      </c>
      <c r="H56" s="18">
        <v>10</v>
      </c>
      <c r="I56" s="18">
        <v>100</v>
      </c>
      <c r="J56" s="34">
        <v>3.5000000000000003E-2</v>
      </c>
      <c r="K56" s="31">
        <f t="shared" si="2"/>
        <v>11.34</v>
      </c>
      <c r="L56" s="31">
        <f t="shared" si="0"/>
        <v>3.4020000000000001</v>
      </c>
      <c r="M56" s="31">
        <f t="shared" si="1"/>
        <v>3.9690000000000003</v>
      </c>
      <c r="N56" s="31">
        <f t="shared" si="4"/>
        <v>18.711000000000002</v>
      </c>
    </row>
    <row r="57" spans="1:14" x14ac:dyDescent="0.25">
      <c r="A57" s="39">
        <f t="shared" si="3"/>
        <v>54</v>
      </c>
      <c r="B57" s="18">
        <v>20</v>
      </c>
      <c r="C57" s="33" t="s">
        <v>191</v>
      </c>
      <c r="D57" s="18" t="s">
        <v>198</v>
      </c>
      <c r="E57" s="142">
        <v>12132</v>
      </c>
      <c r="F57" s="18">
        <v>12132</v>
      </c>
      <c r="G57" s="142">
        <v>10</v>
      </c>
      <c r="H57" s="18">
        <v>10</v>
      </c>
      <c r="I57" s="18">
        <v>100</v>
      </c>
      <c r="J57" s="34">
        <v>3.5000000000000003E-2</v>
      </c>
      <c r="K57" s="31">
        <f t="shared" si="2"/>
        <v>12.132</v>
      </c>
      <c r="L57" s="31">
        <f t="shared" si="0"/>
        <v>3.6395999999999997</v>
      </c>
      <c r="M57" s="31">
        <f t="shared" si="1"/>
        <v>4.2462000000000009</v>
      </c>
      <c r="N57" s="31">
        <f t="shared" si="4"/>
        <v>20.017800000000001</v>
      </c>
    </row>
    <row r="58" spans="1:14" x14ac:dyDescent="0.25">
      <c r="A58" s="39">
        <f t="shared" si="3"/>
        <v>55</v>
      </c>
      <c r="B58" s="18">
        <v>21</v>
      </c>
      <c r="C58" s="33" t="s">
        <v>199</v>
      </c>
      <c r="D58" s="18" t="s">
        <v>200</v>
      </c>
      <c r="E58" s="142">
        <v>805</v>
      </c>
      <c r="F58" s="18">
        <v>805</v>
      </c>
      <c r="G58" s="142">
        <v>10</v>
      </c>
      <c r="H58" s="18">
        <v>10</v>
      </c>
      <c r="I58" s="18">
        <v>100</v>
      </c>
      <c r="J58" s="34">
        <v>0.12</v>
      </c>
      <c r="K58" s="31">
        <f t="shared" si="2"/>
        <v>0.80500000000000005</v>
      </c>
      <c r="L58" s="31">
        <f t="shared" si="0"/>
        <v>0.24150000000000002</v>
      </c>
      <c r="M58" s="31">
        <f t="shared" si="1"/>
        <v>0.96599999999999997</v>
      </c>
      <c r="N58" s="31">
        <f t="shared" si="4"/>
        <v>2.0125000000000002</v>
      </c>
    </row>
    <row r="59" spans="1:14" x14ac:dyDescent="0.25">
      <c r="A59" s="39">
        <f t="shared" si="3"/>
        <v>56</v>
      </c>
      <c r="B59" s="18">
        <v>21</v>
      </c>
      <c r="C59" s="33" t="s">
        <v>199</v>
      </c>
      <c r="D59" s="18" t="s">
        <v>201</v>
      </c>
      <c r="E59" s="142">
        <v>1201</v>
      </c>
      <c r="F59" s="18">
        <v>1201</v>
      </c>
      <c r="G59" s="142">
        <v>10</v>
      </c>
      <c r="H59" s="18">
        <v>10</v>
      </c>
      <c r="I59" s="18">
        <v>100</v>
      </c>
      <c r="J59" s="34">
        <v>0.12</v>
      </c>
      <c r="K59" s="31">
        <f t="shared" si="2"/>
        <v>1.2010000000000001</v>
      </c>
      <c r="L59" s="31">
        <f t="shared" si="0"/>
        <v>0.36029999999999995</v>
      </c>
      <c r="M59" s="31">
        <f t="shared" si="1"/>
        <v>1.4412</v>
      </c>
      <c r="N59" s="31">
        <f t="shared" si="4"/>
        <v>3.0025000000000004</v>
      </c>
    </row>
    <row r="60" spans="1:14" x14ac:dyDescent="0.25">
      <c r="A60" s="39">
        <f t="shared" si="3"/>
        <v>57</v>
      </c>
      <c r="B60" s="18">
        <v>21</v>
      </c>
      <c r="C60" s="33" t="s">
        <v>199</v>
      </c>
      <c r="D60" s="18" t="s">
        <v>202</v>
      </c>
      <c r="E60" s="142">
        <v>1593</v>
      </c>
      <c r="F60" s="18">
        <v>1593</v>
      </c>
      <c r="G60" s="142">
        <v>10</v>
      </c>
      <c r="H60" s="18">
        <v>10</v>
      </c>
      <c r="I60" s="18">
        <v>100</v>
      </c>
      <c r="J60" s="34">
        <v>0.12</v>
      </c>
      <c r="K60" s="31">
        <f t="shared" si="2"/>
        <v>1.593</v>
      </c>
      <c r="L60" s="31">
        <f t="shared" si="0"/>
        <v>0.47789999999999999</v>
      </c>
      <c r="M60" s="31">
        <f t="shared" si="1"/>
        <v>1.9116</v>
      </c>
      <c r="N60" s="31">
        <f t="shared" si="4"/>
        <v>3.9824999999999999</v>
      </c>
    </row>
    <row r="61" spans="1:14" x14ac:dyDescent="0.25">
      <c r="A61" s="39">
        <f t="shared" si="3"/>
        <v>58</v>
      </c>
      <c r="B61" s="18">
        <v>21</v>
      </c>
      <c r="C61" s="33" t="s">
        <v>199</v>
      </c>
      <c r="D61" s="18" t="s">
        <v>176</v>
      </c>
      <c r="E61" s="142">
        <v>2376</v>
      </c>
      <c r="F61" s="18">
        <v>2376</v>
      </c>
      <c r="G61" s="142">
        <v>10</v>
      </c>
      <c r="H61" s="18">
        <v>10</v>
      </c>
      <c r="I61" s="18">
        <v>100</v>
      </c>
      <c r="J61" s="34">
        <v>0.12</v>
      </c>
      <c r="K61" s="31">
        <f t="shared" si="2"/>
        <v>2.3759999999999999</v>
      </c>
      <c r="L61" s="31">
        <f t="shared" si="0"/>
        <v>0.71279999999999999</v>
      </c>
      <c r="M61" s="31">
        <f t="shared" si="1"/>
        <v>2.8512</v>
      </c>
      <c r="N61" s="31">
        <f t="shared" si="4"/>
        <v>5.9399999999999995</v>
      </c>
    </row>
    <row r="62" spans="1:14" x14ac:dyDescent="0.25">
      <c r="A62" s="39">
        <f t="shared" si="3"/>
        <v>59</v>
      </c>
      <c r="B62" s="18">
        <v>21</v>
      </c>
      <c r="C62" s="33" t="s">
        <v>199</v>
      </c>
      <c r="D62" s="18" t="s">
        <v>177</v>
      </c>
      <c r="E62" s="142">
        <v>3164</v>
      </c>
      <c r="F62" s="18">
        <v>3164</v>
      </c>
      <c r="G62" s="142">
        <v>10</v>
      </c>
      <c r="H62" s="18">
        <v>10</v>
      </c>
      <c r="I62" s="18">
        <v>100</v>
      </c>
      <c r="J62" s="34">
        <v>0.12</v>
      </c>
      <c r="K62" s="31">
        <f t="shared" si="2"/>
        <v>3.1640000000000001</v>
      </c>
      <c r="L62" s="31">
        <f t="shared" si="0"/>
        <v>0.94919999999999993</v>
      </c>
      <c r="M62" s="31">
        <f t="shared" si="1"/>
        <v>3.7968000000000002</v>
      </c>
      <c r="N62" s="31">
        <f t="shared" si="4"/>
        <v>7.91</v>
      </c>
    </row>
    <row r="63" spans="1:14" x14ac:dyDescent="0.25">
      <c r="A63" s="39">
        <f t="shared" si="3"/>
        <v>60</v>
      </c>
      <c r="B63" s="18">
        <v>21</v>
      </c>
      <c r="C63" s="33" t="s">
        <v>199</v>
      </c>
      <c r="D63" s="18" t="s">
        <v>203</v>
      </c>
      <c r="E63" s="142">
        <v>3948</v>
      </c>
      <c r="F63" s="18">
        <v>3948</v>
      </c>
      <c r="G63" s="142">
        <v>10</v>
      </c>
      <c r="H63" s="18">
        <v>10</v>
      </c>
      <c r="I63" s="18">
        <v>100</v>
      </c>
      <c r="J63" s="34">
        <v>0.12</v>
      </c>
      <c r="K63" s="31">
        <f t="shared" si="2"/>
        <v>3.948</v>
      </c>
      <c r="L63" s="31">
        <f t="shared" si="0"/>
        <v>1.1843999999999999</v>
      </c>
      <c r="M63" s="31">
        <f t="shared" si="1"/>
        <v>4.7375999999999996</v>
      </c>
      <c r="N63" s="31">
        <f t="shared" si="4"/>
        <v>9.8699999999999992</v>
      </c>
    </row>
    <row r="64" spans="1:14" x14ac:dyDescent="0.25">
      <c r="A64" s="39">
        <f t="shared" si="3"/>
        <v>61</v>
      </c>
      <c r="B64" s="18">
        <v>22</v>
      </c>
      <c r="C64" s="33" t="s">
        <v>204</v>
      </c>
      <c r="D64" s="18" t="s">
        <v>205</v>
      </c>
      <c r="E64" s="142">
        <v>2468</v>
      </c>
      <c r="F64" s="18">
        <v>2468</v>
      </c>
      <c r="G64" s="142">
        <v>10</v>
      </c>
      <c r="H64" s="18">
        <v>10</v>
      </c>
      <c r="I64" s="18">
        <v>100</v>
      </c>
      <c r="J64" s="34">
        <v>0.09</v>
      </c>
      <c r="K64" s="31">
        <f t="shared" si="2"/>
        <v>2.468</v>
      </c>
      <c r="L64" s="31">
        <f t="shared" si="0"/>
        <v>0.74039999999999995</v>
      </c>
      <c r="M64" s="31">
        <f t="shared" si="1"/>
        <v>2.2212000000000001</v>
      </c>
      <c r="N64" s="31">
        <f t="shared" si="4"/>
        <v>5.4296000000000006</v>
      </c>
    </row>
    <row r="65" spans="1:14" x14ac:dyDescent="0.25">
      <c r="A65" s="39">
        <f t="shared" si="3"/>
        <v>62</v>
      </c>
      <c r="B65" s="18">
        <v>22</v>
      </c>
      <c r="C65" s="33" t="s">
        <v>204</v>
      </c>
      <c r="D65" s="18" t="s">
        <v>206</v>
      </c>
      <c r="E65" s="142">
        <v>3252</v>
      </c>
      <c r="F65" s="18">
        <v>3252</v>
      </c>
      <c r="G65" s="142">
        <v>10</v>
      </c>
      <c r="H65" s="18">
        <v>10</v>
      </c>
      <c r="I65" s="18">
        <v>100</v>
      </c>
      <c r="J65" s="34">
        <v>0.09</v>
      </c>
      <c r="K65" s="31">
        <f t="shared" si="2"/>
        <v>3.2519999999999998</v>
      </c>
      <c r="L65" s="31">
        <f t="shared" si="0"/>
        <v>0.97560000000000002</v>
      </c>
      <c r="M65" s="31">
        <f t="shared" si="1"/>
        <v>2.9268000000000001</v>
      </c>
      <c r="N65" s="31">
        <f t="shared" si="4"/>
        <v>7.1543999999999999</v>
      </c>
    </row>
    <row r="66" spans="1:14" x14ac:dyDescent="0.25">
      <c r="A66" s="39">
        <f t="shared" si="3"/>
        <v>63</v>
      </c>
      <c r="B66" s="18">
        <v>22</v>
      </c>
      <c r="C66" s="33" t="s">
        <v>204</v>
      </c>
      <c r="D66" s="18" t="s">
        <v>207</v>
      </c>
      <c r="E66" s="142">
        <v>4002</v>
      </c>
      <c r="F66" s="18">
        <v>4002</v>
      </c>
      <c r="G66" s="142">
        <v>10</v>
      </c>
      <c r="H66" s="18">
        <v>10</v>
      </c>
      <c r="I66" s="18">
        <v>100</v>
      </c>
      <c r="J66" s="34">
        <v>0.09</v>
      </c>
      <c r="K66" s="31">
        <f t="shared" si="2"/>
        <v>4.0019999999999998</v>
      </c>
      <c r="L66" s="31">
        <f t="shared" si="0"/>
        <v>1.2006000000000001</v>
      </c>
      <c r="M66" s="31">
        <f t="shared" si="1"/>
        <v>3.6017999999999999</v>
      </c>
      <c r="N66" s="31">
        <f t="shared" si="4"/>
        <v>8.8044000000000011</v>
      </c>
    </row>
    <row r="67" spans="1:14" x14ac:dyDescent="0.25">
      <c r="A67" s="39">
        <f t="shared" si="3"/>
        <v>64</v>
      </c>
      <c r="B67" s="18">
        <v>22</v>
      </c>
      <c r="C67" s="33" t="s">
        <v>204</v>
      </c>
      <c r="D67" s="18" t="s">
        <v>208</v>
      </c>
      <c r="E67" s="142">
        <v>4711</v>
      </c>
      <c r="F67" s="18">
        <v>4711</v>
      </c>
      <c r="G67" s="142">
        <v>10</v>
      </c>
      <c r="H67" s="18">
        <v>10</v>
      </c>
      <c r="I67" s="18">
        <v>100</v>
      </c>
      <c r="J67" s="34">
        <v>0.09</v>
      </c>
      <c r="K67" s="31">
        <f t="shared" si="2"/>
        <v>4.7110000000000003</v>
      </c>
      <c r="L67" s="31">
        <f t="shared" si="0"/>
        <v>1.4133</v>
      </c>
      <c r="M67" s="31">
        <f t="shared" si="1"/>
        <v>4.2399000000000004</v>
      </c>
      <c r="N67" s="31">
        <f t="shared" si="4"/>
        <v>10.3642</v>
      </c>
    </row>
    <row r="68" spans="1:14" x14ac:dyDescent="0.25">
      <c r="A68" s="39">
        <f t="shared" si="3"/>
        <v>65</v>
      </c>
      <c r="B68" s="18">
        <v>23</v>
      </c>
      <c r="C68" s="33" t="s">
        <v>209</v>
      </c>
      <c r="D68" s="18" t="s">
        <v>205</v>
      </c>
      <c r="E68" s="142">
        <v>684</v>
      </c>
      <c r="F68" s="18">
        <v>684</v>
      </c>
      <c r="G68" s="142">
        <v>10</v>
      </c>
      <c r="H68" s="18">
        <v>10</v>
      </c>
      <c r="I68" s="18">
        <v>100</v>
      </c>
      <c r="J68" s="34">
        <v>7.0000000000000007E-2</v>
      </c>
      <c r="K68" s="31">
        <f t="shared" si="2"/>
        <v>0.68400000000000005</v>
      </c>
      <c r="L68" s="31">
        <f t="shared" ref="L68:L131" si="5">+(F68/I68)*($L$1/100)</f>
        <v>0.20519999999999999</v>
      </c>
      <c r="M68" s="31">
        <f t="shared" ref="M68:M131" si="6">+F68*J68/100</f>
        <v>0.4788</v>
      </c>
      <c r="N68" s="31">
        <f t="shared" si="4"/>
        <v>1.3679999999999999</v>
      </c>
    </row>
    <row r="69" spans="1:14" x14ac:dyDescent="0.25">
      <c r="A69" s="39">
        <f t="shared" si="3"/>
        <v>66</v>
      </c>
      <c r="B69" s="18">
        <v>23</v>
      </c>
      <c r="C69" s="33" t="s">
        <v>209</v>
      </c>
      <c r="D69" s="18" t="s">
        <v>206</v>
      </c>
      <c r="E69" s="142">
        <v>881</v>
      </c>
      <c r="F69" s="18">
        <v>881</v>
      </c>
      <c r="G69" s="142">
        <v>10</v>
      </c>
      <c r="H69" s="18">
        <v>10</v>
      </c>
      <c r="I69" s="18">
        <v>100</v>
      </c>
      <c r="J69" s="34">
        <v>7.0000000000000007E-2</v>
      </c>
      <c r="K69" s="31">
        <f t="shared" ref="K69:K132" si="7">+F69/(H69*I69)</f>
        <v>0.88100000000000001</v>
      </c>
      <c r="L69" s="31">
        <f t="shared" si="5"/>
        <v>0.26429999999999998</v>
      </c>
      <c r="M69" s="31">
        <f t="shared" si="6"/>
        <v>0.61670000000000014</v>
      </c>
      <c r="N69" s="31">
        <f t="shared" si="4"/>
        <v>1.762</v>
      </c>
    </row>
    <row r="70" spans="1:14" x14ac:dyDescent="0.25">
      <c r="A70" s="39">
        <f t="shared" ref="A70:A133" si="8">+A69+1</f>
        <v>67</v>
      </c>
      <c r="B70" s="18">
        <v>23</v>
      </c>
      <c r="C70" s="33" t="s">
        <v>209</v>
      </c>
      <c r="D70" s="18" t="s">
        <v>207</v>
      </c>
      <c r="E70" s="142">
        <v>1074</v>
      </c>
      <c r="F70" s="18">
        <v>1074</v>
      </c>
      <c r="G70" s="142">
        <v>10</v>
      </c>
      <c r="H70" s="18">
        <v>10</v>
      </c>
      <c r="I70" s="18">
        <v>100</v>
      </c>
      <c r="J70" s="34">
        <v>7.0000000000000007E-2</v>
      </c>
      <c r="K70" s="31">
        <f t="shared" si="7"/>
        <v>1.0740000000000001</v>
      </c>
      <c r="L70" s="31">
        <f t="shared" si="5"/>
        <v>0.32219999999999999</v>
      </c>
      <c r="M70" s="31">
        <f t="shared" si="6"/>
        <v>0.75180000000000002</v>
      </c>
      <c r="N70" s="31">
        <f t="shared" ref="N70:N133" si="9">+K70+L70+M70</f>
        <v>2.1480000000000001</v>
      </c>
    </row>
    <row r="71" spans="1:14" x14ac:dyDescent="0.25">
      <c r="A71" s="39">
        <f t="shared" si="8"/>
        <v>68</v>
      </c>
      <c r="B71" s="18">
        <v>23</v>
      </c>
      <c r="C71" s="33" t="s">
        <v>209</v>
      </c>
      <c r="D71" s="18" t="s">
        <v>208</v>
      </c>
      <c r="E71" s="142">
        <v>1271</v>
      </c>
      <c r="F71" s="18">
        <v>1271</v>
      </c>
      <c r="G71" s="142">
        <v>10</v>
      </c>
      <c r="H71" s="18">
        <v>10</v>
      </c>
      <c r="I71" s="18">
        <v>100</v>
      </c>
      <c r="J71" s="34">
        <v>7.0000000000000007E-2</v>
      </c>
      <c r="K71" s="31">
        <f t="shared" si="7"/>
        <v>1.2709999999999999</v>
      </c>
      <c r="L71" s="31">
        <f t="shared" si="5"/>
        <v>0.38130000000000003</v>
      </c>
      <c r="M71" s="31">
        <f t="shared" si="6"/>
        <v>0.88970000000000016</v>
      </c>
      <c r="N71" s="31">
        <f t="shared" si="9"/>
        <v>2.5419999999999998</v>
      </c>
    </row>
    <row r="72" spans="1:14" x14ac:dyDescent="0.25">
      <c r="A72" s="39">
        <f t="shared" si="8"/>
        <v>69</v>
      </c>
      <c r="B72" s="18">
        <v>23</v>
      </c>
      <c r="C72" s="33" t="s">
        <v>209</v>
      </c>
      <c r="D72" s="18" t="s">
        <v>210</v>
      </c>
      <c r="E72" s="142">
        <v>1464</v>
      </c>
      <c r="F72" s="18">
        <v>1464</v>
      </c>
      <c r="G72" s="142">
        <v>10</v>
      </c>
      <c r="H72" s="18">
        <v>10</v>
      </c>
      <c r="I72" s="18">
        <v>100</v>
      </c>
      <c r="J72" s="34">
        <v>7.0000000000000007E-2</v>
      </c>
      <c r="K72" s="31">
        <f t="shared" si="7"/>
        <v>1.464</v>
      </c>
      <c r="L72" s="31">
        <f t="shared" si="5"/>
        <v>0.43919999999999998</v>
      </c>
      <c r="M72" s="31">
        <f t="shared" si="6"/>
        <v>1.0247999999999999</v>
      </c>
      <c r="N72" s="31">
        <f t="shared" si="9"/>
        <v>2.9279999999999999</v>
      </c>
    </row>
    <row r="73" spans="1:14" x14ac:dyDescent="0.25">
      <c r="A73" s="39">
        <f t="shared" si="8"/>
        <v>70</v>
      </c>
      <c r="B73" s="18">
        <v>23</v>
      </c>
      <c r="C73" s="33" t="s">
        <v>209</v>
      </c>
      <c r="D73" s="18" t="s">
        <v>211</v>
      </c>
      <c r="E73" s="142">
        <v>1660</v>
      </c>
      <c r="F73" s="18">
        <v>1660</v>
      </c>
      <c r="G73" s="142">
        <v>10</v>
      </c>
      <c r="H73" s="18">
        <v>10</v>
      </c>
      <c r="I73" s="18">
        <v>100</v>
      </c>
      <c r="J73" s="34">
        <v>7.0000000000000007E-2</v>
      </c>
      <c r="K73" s="31">
        <f t="shared" si="7"/>
        <v>1.66</v>
      </c>
      <c r="L73" s="31">
        <f t="shared" si="5"/>
        <v>0.498</v>
      </c>
      <c r="M73" s="31">
        <f t="shared" si="6"/>
        <v>1.1620000000000001</v>
      </c>
      <c r="N73" s="31">
        <f t="shared" si="9"/>
        <v>3.3200000000000003</v>
      </c>
    </row>
    <row r="74" spans="1:14" x14ac:dyDescent="0.25">
      <c r="A74" s="39">
        <f t="shared" si="8"/>
        <v>71</v>
      </c>
      <c r="B74" s="18">
        <v>23</v>
      </c>
      <c r="C74" s="33" t="s">
        <v>209</v>
      </c>
      <c r="D74" s="18" t="s">
        <v>212</v>
      </c>
      <c r="E74" s="142">
        <v>1854</v>
      </c>
      <c r="F74" s="18">
        <v>1854</v>
      </c>
      <c r="G74" s="142">
        <v>10</v>
      </c>
      <c r="H74" s="18">
        <v>10</v>
      </c>
      <c r="I74" s="18">
        <v>100</v>
      </c>
      <c r="J74" s="34">
        <v>7.0000000000000007E-2</v>
      </c>
      <c r="K74" s="31">
        <f t="shared" si="7"/>
        <v>1.8540000000000001</v>
      </c>
      <c r="L74" s="31">
        <f t="shared" si="5"/>
        <v>0.55619999999999992</v>
      </c>
      <c r="M74" s="31">
        <f t="shared" si="6"/>
        <v>1.2978000000000001</v>
      </c>
      <c r="N74" s="31">
        <f t="shared" si="9"/>
        <v>3.7080000000000002</v>
      </c>
    </row>
    <row r="75" spans="1:14" x14ac:dyDescent="0.25">
      <c r="A75" s="39">
        <f t="shared" si="8"/>
        <v>72</v>
      </c>
      <c r="B75" s="18">
        <v>23</v>
      </c>
      <c r="C75" s="33" t="s">
        <v>209</v>
      </c>
      <c r="D75" s="18" t="s">
        <v>213</v>
      </c>
      <c r="E75" s="142">
        <v>2050</v>
      </c>
      <c r="F75" s="18">
        <v>2050</v>
      </c>
      <c r="G75" s="142">
        <v>10</v>
      </c>
      <c r="H75" s="18">
        <v>10</v>
      </c>
      <c r="I75" s="18">
        <v>100</v>
      </c>
      <c r="J75" s="34">
        <v>7.0000000000000007E-2</v>
      </c>
      <c r="K75" s="31">
        <f t="shared" si="7"/>
        <v>2.0499999999999998</v>
      </c>
      <c r="L75" s="31">
        <f t="shared" si="5"/>
        <v>0.61499999999999999</v>
      </c>
      <c r="M75" s="31">
        <f t="shared" si="6"/>
        <v>1.4350000000000001</v>
      </c>
      <c r="N75" s="31">
        <f t="shared" si="9"/>
        <v>4.0999999999999996</v>
      </c>
    </row>
    <row r="76" spans="1:14" x14ac:dyDescent="0.25">
      <c r="A76" s="39">
        <f t="shared" si="8"/>
        <v>73</v>
      </c>
      <c r="B76" s="18">
        <v>24</v>
      </c>
      <c r="C76" s="33" t="s">
        <v>214</v>
      </c>
      <c r="D76" s="18" t="s">
        <v>205</v>
      </c>
      <c r="E76" s="142">
        <v>900</v>
      </c>
      <c r="F76" s="18">
        <v>900</v>
      </c>
      <c r="G76" s="142">
        <v>10</v>
      </c>
      <c r="H76" s="18">
        <v>10</v>
      </c>
      <c r="I76" s="18">
        <v>100</v>
      </c>
      <c r="J76" s="34">
        <v>7.0000000000000007E-2</v>
      </c>
      <c r="K76" s="31">
        <f t="shared" si="7"/>
        <v>0.9</v>
      </c>
      <c r="L76" s="31">
        <f t="shared" si="5"/>
        <v>0.27</v>
      </c>
      <c r="M76" s="31">
        <f t="shared" si="6"/>
        <v>0.63000000000000012</v>
      </c>
      <c r="N76" s="31">
        <f t="shared" si="9"/>
        <v>1.8</v>
      </c>
    </row>
    <row r="77" spans="1:14" x14ac:dyDescent="0.25">
      <c r="A77" s="39">
        <f t="shared" si="8"/>
        <v>74</v>
      </c>
      <c r="B77" s="18">
        <v>24</v>
      </c>
      <c r="C77" s="33" t="s">
        <v>214</v>
      </c>
      <c r="D77" s="18" t="s">
        <v>206</v>
      </c>
      <c r="E77" s="142">
        <v>1159</v>
      </c>
      <c r="F77" s="18">
        <v>1159</v>
      </c>
      <c r="G77" s="142">
        <v>10</v>
      </c>
      <c r="H77" s="18">
        <v>10</v>
      </c>
      <c r="I77" s="18">
        <v>100</v>
      </c>
      <c r="J77" s="34">
        <v>7.0000000000000007E-2</v>
      </c>
      <c r="K77" s="31">
        <f t="shared" si="7"/>
        <v>1.159</v>
      </c>
      <c r="L77" s="31">
        <f t="shared" si="5"/>
        <v>0.34770000000000001</v>
      </c>
      <c r="M77" s="31">
        <f t="shared" si="6"/>
        <v>0.81130000000000013</v>
      </c>
      <c r="N77" s="31">
        <f t="shared" si="9"/>
        <v>2.3180000000000001</v>
      </c>
    </row>
    <row r="78" spans="1:14" x14ac:dyDescent="0.25">
      <c r="A78" s="39">
        <f t="shared" si="8"/>
        <v>75</v>
      </c>
      <c r="B78" s="18">
        <v>24</v>
      </c>
      <c r="C78" s="33" t="s">
        <v>214</v>
      </c>
      <c r="D78" s="18" t="s">
        <v>207</v>
      </c>
      <c r="E78" s="142">
        <v>1413</v>
      </c>
      <c r="F78" s="18">
        <v>1413</v>
      </c>
      <c r="G78" s="142">
        <v>10</v>
      </c>
      <c r="H78" s="18">
        <v>10</v>
      </c>
      <c r="I78" s="18">
        <v>100</v>
      </c>
      <c r="J78" s="34">
        <v>7.0000000000000007E-2</v>
      </c>
      <c r="K78" s="31">
        <f t="shared" si="7"/>
        <v>1.413</v>
      </c>
      <c r="L78" s="31">
        <f t="shared" si="5"/>
        <v>0.4239</v>
      </c>
      <c r="M78" s="31">
        <f t="shared" si="6"/>
        <v>0.98910000000000009</v>
      </c>
      <c r="N78" s="31">
        <f t="shared" si="9"/>
        <v>2.8260000000000001</v>
      </c>
    </row>
    <row r="79" spans="1:14" x14ac:dyDescent="0.25">
      <c r="A79" s="39">
        <f t="shared" si="8"/>
        <v>76</v>
      </c>
      <c r="B79" s="18">
        <v>24</v>
      </c>
      <c r="C79" s="33" t="s">
        <v>214</v>
      </c>
      <c r="D79" s="18" t="s">
        <v>208</v>
      </c>
      <c r="E79" s="142">
        <v>1672</v>
      </c>
      <c r="F79" s="18">
        <v>1672</v>
      </c>
      <c r="G79" s="142">
        <v>10</v>
      </c>
      <c r="H79" s="18">
        <v>10</v>
      </c>
      <c r="I79" s="18">
        <v>100</v>
      </c>
      <c r="J79" s="34">
        <v>7.0000000000000007E-2</v>
      </c>
      <c r="K79" s="31">
        <f t="shared" si="7"/>
        <v>1.6719999999999999</v>
      </c>
      <c r="L79" s="31">
        <f t="shared" si="5"/>
        <v>0.50159999999999993</v>
      </c>
      <c r="M79" s="31">
        <f t="shared" si="6"/>
        <v>1.1704000000000001</v>
      </c>
      <c r="N79" s="31">
        <f t="shared" si="9"/>
        <v>3.3440000000000003</v>
      </c>
    </row>
    <row r="80" spans="1:14" x14ac:dyDescent="0.25">
      <c r="A80" s="39">
        <f t="shared" si="8"/>
        <v>77</v>
      </c>
      <c r="B80" s="18">
        <v>24</v>
      </c>
      <c r="C80" s="33" t="s">
        <v>214</v>
      </c>
      <c r="D80" s="18" t="s">
        <v>210</v>
      </c>
      <c r="E80" s="142">
        <v>1926</v>
      </c>
      <c r="F80" s="18">
        <v>1926</v>
      </c>
      <c r="G80" s="142">
        <v>10</v>
      </c>
      <c r="H80" s="18">
        <v>10</v>
      </c>
      <c r="I80" s="18">
        <v>100</v>
      </c>
      <c r="J80" s="34">
        <v>7.0000000000000007E-2</v>
      </c>
      <c r="K80" s="31">
        <f t="shared" si="7"/>
        <v>1.9259999999999999</v>
      </c>
      <c r="L80" s="31">
        <f t="shared" si="5"/>
        <v>0.57779999999999998</v>
      </c>
      <c r="M80" s="31">
        <f t="shared" si="6"/>
        <v>1.3482000000000003</v>
      </c>
      <c r="N80" s="31">
        <f t="shared" si="9"/>
        <v>3.8520000000000003</v>
      </c>
    </row>
    <row r="81" spans="1:14" x14ac:dyDescent="0.25">
      <c r="A81" s="39">
        <f t="shared" si="8"/>
        <v>78</v>
      </c>
      <c r="B81" s="18">
        <v>24</v>
      </c>
      <c r="C81" s="33" t="s">
        <v>214</v>
      </c>
      <c r="D81" s="18" t="s">
        <v>211</v>
      </c>
      <c r="E81" s="142">
        <v>2185</v>
      </c>
      <c r="F81" s="18">
        <v>2185</v>
      </c>
      <c r="G81" s="142">
        <v>10</v>
      </c>
      <c r="H81" s="18">
        <v>10</v>
      </c>
      <c r="I81" s="18">
        <v>100</v>
      </c>
      <c r="J81" s="34">
        <v>7.0000000000000007E-2</v>
      </c>
      <c r="K81" s="31">
        <f t="shared" si="7"/>
        <v>2.1850000000000001</v>
      </c>
      <c r="L81" s="31">
        <f t="shared" si="5"/>
        <v>0.65549999999999997</v>
      </c>
      <c r="M81" s="31">
        <f t="shared" si="6"/>
        <v>1.5295000000000001</v>
      </c>
      <c r="N81" s="31">
        <f t="shared" si="9"/>
        <v>4.37</v>
      </c>
    </row>
    <row r="82" spans="1:14" x14ac:dyDescent="0.25">
      <c r="A82" s="39">
        <f t="shared" si="8"/>
        <v>79</v>
      </c>
      <c r="B82" s="18">
        <v>24</v>
      </c>
      <c r="C82" s="33" t="s">
        <v>214</v>
      </c>
      <c r="D82" s="18" t="s">
        <v>212</v>
      </c>
      <c r="E82" s="142">
        <v>2439</v>
      </c>
      <c r="F82" s="18">
        <v>2439</v>
      </c>
      <c r="G82" s="142">
        <v>10</v>
      </c>
      <c r="H82" s="18">
        <v>10</v>
      </c>
      <c r="I82" s="18">
        <v>100</v>
      </c>
      <c r="J82" s="34">
        <v>7.0000000000000007E-2</v>
      </c>
      <c r="K82" s="31">
        <f t="shared" si="7"/>
        <v>2.4390000000000001</v>
      </c>
      <c r="L82" s="31">
        <f t="shared" si="5"/>
        <v>0.73170000000000002</v>
      </c>
      <c r="M82" s="31">
        <f t="shared" si="6"/>
        <v>1.7073000000000003</v>
      </c>
      <c r="N82" s="31">
        <f t="shared" si="9"/>
        <v>4.8780000000000001</v>
      </c>
    </row>
    <row r="83" spans="1:14" x14ac:dyDescent="0.25">
      <c r="A83" s="39">
        <f t="shared" si="8"/>
        <v>80</v>
      </c>
      <c r="B83" s="18">
        <v>24</v>
      </c>
      <c r="C83" s="33" t="s">
        <v>214</v>
      </c>
      <c r="D83" s="18" t="s">
        <v>213</v>
      </c>
      <c r="E83" s="142">
        <v>2697</v>
      </c>
      <c r="F83" s="18">
        <v>2697</v>
      </c>
      <c r="G83" s="142">
        <v>10</v>
      </c>
      <c r="H83" s="18">
        <v>10</v>
      </c>
      <c r="I83" s="18">
        <v>100</v>
      </c>
      <c r="J83" s="34">
        <v>7.0000000000000007E-2</v>
      </c>
      <c r="K83" s="31">
        <f t="shared" si="7"/>
        <v>2.6970000000000001</v>
      </c>
      <c r="L83" s="31">
        <f t="shared" si="5"/>
        <v>0.80909999999999993</v>
      </c>
      <c r="M83" s="31">
        <f t="shared" si="6"/>
        <v>1.8879000000000001</v>
      </c>
      <c r="N83" s="31">
        <f t="shared" si="9"/>
        <v>5.3940000000000001</v>
      </c>
    </row>
    <row r="84" spans="1:14" x14ac:dyDescent="0.25">
      <c r="A84" s="39">
        <f t="shared" si="8"/>
        <v>81</v>
      </c>
      <c r="B84" s="18">
        <v>25</v>
      </c>
      <c r="C84" s="33" t="s">
        <v>215</v>
      </c>
      <c r="D84" s="18" t="s">
        <v>216</v>
      </c>
      <c r="E84" s="142">
        <v>1680</v>
      </c>
      <c r="F84" s="18">
        <v>1680</v>
      </c>
      <c r="G84" s="142">
        <v>10</v>
      </c>
      <c r="H84" s="18">
        <v>10</v>
      </c>
      <c r="I84" s="18">
        <v>100</v>
      </c>
      <c r="J84" s="34">
        <v>7.0000000000000007E-2</v>
      </c>
      <c r="K84" s="31">
        <f t="shared" si="7"/>
        <v>1.68</v>
      </c>
      <c r="L84" s="31">
        <f t="shared" si="5"/>
        <v>0.504</v>
      </c>
      <c r="M84" s="31">
        <f t="shared" si="6"/>
        <v>1.1760000000000002</v>
      </c>
      <c r="N84" s="31">
        <f t="shared" si="9"/>
        <v>3.3600000000000003</v>
      </c>
    </row>
    <row r="85" spans="1:14" x14ac:dyDescent="0.25">
      <c r="A85" s="39">
        <f t="shared" si="8"/>
        <v>82</v>
      </c>
      <c r="B85" s="18">
        <v>25</v>
      </c>
      <c r="C85" s="33" t="s">
        <v>215</v>
      </c>
      <c r="D85" s="18" t="s">
        <v>217</v>
      </c>
      <c r="E85" s="142">
        <v>1959</v>
      </c>
      <c r="F85" s="18">
        <v>1959</v>
      </c>
      <c r="G85" s="142">
        <v>10</v>
      </c>
      <c r="H85" s="18">
        <v>10</v>
      </c>
      <c r="I85" s="18">
        <v>100</v>
      </c>
      <c r="J85" s="34">
        <v>7.0000000000000007E-2</v>
      </c>
      <c r="K85" s="31">
        <f t="shared" si="7"/>
        <v>1.9590000000000001</v>
      </c>
      <c r="L85" s="31">
        <f t="shared" si="5"/>
        <v>0.5877</v>
      </c>
      <c r="M85" s="31">
        <f t="shared" si="6"/>
        <v>1.3713000000000002</v>
      </c>
      <c r="N85" s="31">
        <f t="shared" si="9"/>
        <v>3.9180000000000001</v>
      </c>
    </row>
    <row r="86" spans="1:14" x14ac:dyDescent="0.25">
      <c r="A86" s="39">
        <f t="shared" si="8"/>
        <v>83</v>
      </c>
      <c r="B86" s="18">
        <v>25</v>
      </c>
      <c r="C86" s="33" t="s">
        <v>215</v>
      </c>
      <c r="D86" s="18" t="s">
        <v>218</v>
      </c>
      <c r="E86" s="142">
        <v>2314</v>
      </c>
      <c r="F86" s="18">
        <v>2314</v>
      </c>
      <c r="G86" s="142">
        <v>10</v>
      </c>
      <c r="H86" s="18">
        <v>10</v>
      </c>
      <c r="I86" s="18">
        <v>100</v>
      </c>
      <c r="J86" s="34">
        <v>7.0000000000000007E-2</v>
      </c>
      <c r="K86" s="31">
        <f t="shared" si="7"/>
        <v>2.3140000000000001</v>
      </c>
      <c r="L86" s="31">
        <f t="shared" si="5"/>
        <v>0.69420000000000004</v>
      </c>
      <c r="M86" s="31">
        <f t="shared" si="6"/>
        <v>1.6198000000000001</v>
      </c>
      <c r="N86" s="31">
        <f t="shared" si="9"/>
        <v>4.6280000000000001</v>
      </c>
    </row>
    <row r="87" spans="1:14" x14ac:dyDescent="0.25">
      <c r="A87" s="39">
        <f t="shared" si="8"/>
        <v>84</v>
      </c>
      <c r="B87" s="18">
        <v>25</v>
      </c>
      <c r="C87" s="33" t="s">
        <v>215</v>
      </c>
      <c r="D87" s="18" t="s">
        <v>219</v>
      </c>
      <c r="E87" s="142">
        <v>2952</v>
      </c>
      <c r="F87" s="18">
        <v>2950</v>
      </c>
      <c r="G87" s="142">
        <v>10</v>
      </c>
      <c r="H87" s="18">
        <v>10</v>
      </c>
      <c r="I87" s="18">
        <v>100</v>
      </c>
      <c r="J87" s="34">
        <v>7.0000000000000007E-2</v>
      </c>
      <c r="K87" s="31">
        <f t="shared" si="7"/>
        <v>2.95</v>
      </c>
      <c r="L87" s="31">
        <f t="shared" si="5"/>
        <v>0.88500000000000001</v>
      </c>
      <c r="M87" s="31">
        <f t="shared" si="6"/>
        <v>2.0650000000000004</v>
      </c>
      <c r="N87" s="31">
        <f t="shared" si="9"/>
        <v>5.9</v>
      </c>
    </row>
    <row r="88" spans="1:14" x14ac:dyDescent="0.25">
      <c r="A88" s="39">
        <f t="shared" si="8"/>
        <v>85</v>
      </c>
      <c r="B88" s="18">
        <v>25</v>
      </c>
      <c r="C88" s="33" t="s">
        <v>215</v>
      </c>
      <c r="D88" s="18" t="s">
        <v>220</v>
      </c>
      <c r="E88" s="142">
        <v>3589</v>
      </c>
      <c r="F88" s="18">
        <v>3589</v>
      </c>
      <c r="G88" s="142">
        <v>10</v>
      </c>
      <c r="H88" s="18">
        <v>10</v>
      </c>
      <c r="I88" s="18">
        <v>100</v>
      </c>
      <c r="J88" s="34">
        <v>7.0000000000000007E-2</v>
      </c>
      <c r="K88" s="31">
        <f t="shared" si="7"/>
        <v>3.589</v>
      </c>
      <c r="L88" s="31">
        <f t="shared" si="5"/>
        <v>1.0767</v>
      </c>
      <c r="M88" s="31">
        <f t="shared" si="6"/>
        <v>2.5123000000000002</v>
      </c>
      <c r="N88" s="31">
        <f t="shared" si="9"/>
        <v>7.1780000000000008</v>
      </c>
    </row>
    <row r="89" spans="1:14" x14ac:dyDescent="0.25">
      <c r="A89" s="39">
        <f t="shared" si="8"/>
        <v>86</v>
      </c>
      <c r="B89" s="18">
        <v>25</v>
      </c>
      <c r="C89" s="33" t="s">
        <v>215</v>
      </c>
      <c r="D89" s="18" t="s">
        <v>221</v>
      </c>
      <c r="E89" s="142">
        <v>4211</v>
      </c>
      <c r="F89" s="18">
        <v>4211</v>
      </c>
      <c r="G89" s="142">
        <v>10</v>
      </c>
      <c r="H89" s="18">
        <v>10</v>
      </c>
      <c r="I89" s="18">
        <v>100</v>
      </c>
      <c r="J89" s="34">
        <v>7.0000000000000007E-2</v>
      </c>
      <c r="K89" s="31">
        <f t="shared" si="7"/>
        <v>4.2110000000000003</v>
      </c>
      <c r="L89" s="31">
        <f t="shared" si="5"/>
        <v>1.2632999999999999</v>
      </c>
      <c r="M89" s="31">
        <f t="shared" si="6"/>
        <v>2.9477000000000002</v>
      </c>
      <c r="N89" s="31">
        <f t="shared" si="9"/>
        <v>8.4220000000000006</v>
      </c>
    </row>
    <row r="90" spans="1:14" x14ac:dyDescent="0.25">
      <c r="A90" s="39">
        <f t="shared" si="8"/>
        <v>87</v>
      </c>
      <c r="B90" s="18">
        <v>25</v>
      </c>
      <c r="C90" s="33" t="s">
        <v>215</v>
      </c>
      <c r="D90" s="18" t="s">
        <v>222</v>
      </c>
      <c r="E90" s="142">
        <v>4878</v>
      </c>
      <c r="F90" s="18">
        <v>4878</v>
      </c>
      <c r="G90" s="142">
        <v>10</v>
      </c>
      <c r="H90" s="18">
        <v>10</v>
      </c>
      <c r="I90" s="18">
        <v>100</v>
      </c>
      <c r="J90" s="34">
        <v>7.0000000000000007E-2</v>
      </c>
      <c r="K90" s="31">
        <f t="shared" si="7"/>
        <v>4.8780000000000001</v>
      </c>
      <c r="L90" s="31">
        <f t="shared" si="5"/>
        <v>1.4634</v>
      </c>
      <c r="M90" s="31">
        <f t="shared" si="6"/>
        <v>3.4146000000000005</v>
      </c>
      <c r="N90" s="31">
        <f t="shared" si="9"/>
        <v>9.7560000000000002</v>
      </c>
    </row>
    <row r="91" spans="1:14" x14ac:dyDescent="0.25">
      <c r="A91" s="39">
        <f t="shared" si="8"/>
        <v>88</v>
      </c>
      <c r="B91" s="18">
        <v>26</v>
      </c>
      <c r="C91" s="33" t="s">
        <v>223</v>
      </c>
      <c r="D91" s="18" t="s">
        <v>224</v>
      </c>
      <c r="E91" s="142">
        <v>1644</v>
      </c>
      <c r="F91" s="18">
        <v>1644</v>
      </c>
      <c r="G91" s="142">
        <v>10</v>
      </c>
      <c r="H91" s="18">
        <v>10</v>
      </c>
      <c r="I91" s="18">
        <v>100</v>
      </c>
      <c r="J91" s="34">
        <v>0.05</v>
      </c>
      <c r="K91" s="31">
        <f t="shared" si="7"/>
        <v>1.6439999999999999</v>
      </c>
      <c r="L91" s="31">
        <f t="shared" si="5"/>
        <v>0.49320000000000003</v>
      </c>
      <c r="M91" s="31">
        <f t="shared" si="6"/>
        <v>0.82200000000000006</v>
      </c>
      <c r="N91" s="31">
        <f t="shared" si="9"/>
        <v>2.9592000000000001</v>
      </c>
    </row>
    <row r="92" spans="1:14" x14ac:dyDescent="0.25">
      <c r="A92" s="39">
        <f t="shared" si="8"/>
        <v>89</v>
      </c>
      <c r="B92" s="18">
        <v>26</v>
      </c>
      <c r="C92" s="33" t="s">
        <v>223</v>
      </c>
      <c r="D92" s="18" t="s">
        <v>225</v>
      </c>
      <c r="E92" s="142">
        <v>2082</v>
      </c>
      <c r="F92" s="18">
        <v>2082</v>
      </c>
      <c r="G92" s="142">
        <v>10</v>
      </c>
      <c r="H92" s="18">
        <v>10</v>
      </c>
      <c r="I92" s="18">
        <v>100</v>
      </c>
      <c r="J92" s="34">
        <v>0.05</v>
      </c>
      <c r="K92" s="31">
        <f t="shared" si="7"/>
        <v>2.0819999999999999</v>
      </c>
      <c r="L92" s="31">
        <f t="shared" si="5"/>
        <v>0.62459999999999993</v>
      </c>
      <c r="M92" s="31">
        <f t="shared" si="6"/>
        <v>1.0410000000000001</v>
      </c>
      <c r="N92" s="31">
        <f t="shared" si="9"/>
        <v>3.7476000000000003</v>
      </c>
    </row>
    <row r="93" spans="1:14" x14ac:dyDescent="0.25">
      <c r="A93" s="39">
        <f t="shared" si="8"/>
        <v>90</v>
      </c>
      <c r="B93" s="18">
        <v>26</v>
      </c>
      <c r="C93" s="33" t="s">
        <v>223</v>
      </c>
      <c r="D93" s="18" t="s">
        <v>226</v>
      </c>
      <c r="E93" s="142">
        <v>2557</v>
      </c>
      <c r="F93" s="18">
        <v>2557</v>
      </c>
      <c r="G93" s="142">
        <v>10</v>
      </c>
      <c r="H93" s="18">
        <v>10</v>
      </c>
      <c r="I93" s="18">
        <v>100</v>
      </c>
      <c r="J93" s="34">
        <v>0.05</v>
      </c>
      <c r="K93" s="31">
        <f t="shared" si="7"/>
        <v>2.5569999999999999</v>
      </c>
      <c r="L93" s="31">
        <f t="shared" si="5"/>
        <v>0.7671</v>
      </c>
      <c r="M93" s="31">
        <f t="shared" si="6"/>
        <v>1.2785000000000002</v>
      </c>
      <c r="N93" s="31">
        <f t="shared" si="9"/>
        <v>4.6026000000000007</v>
      </c>
    </row>
    <row r="94" spans="1:14" x14ac:dyDescent="0.25">
      <c r="A94" s="39">
        <f t="shared" si="8"/>
        <v>91</v>
      </c>
      <c r="B94" s="18">
        <v>26</v>
      </c>
      <c r="C94" s="33" t="s">
        <v>223</v>
      </c>
      <c r="D94" s="18" t="s">
        <v>227</v>
      </c>
      <c r="E94" s="142">
        <v>3032</v>
      </c>
      <c r="F94" s="18">
        <v>3032</v>
      </c>
      <c r="G94" s="142">
        <v>10</v>
      </c>
      <c r="H94" s="18">
        <v>10</v>
      </c>
      <c r="I94" s="18">
        <v>100</v>
      </c>
      <c r="J94" s="34">
        <v>0.05</v>
      </c>
      <c r="K94" s="31">
        <f t="shared" si="7"/>
        <v>3.032</v>
      </c>
      <c r="L94" s="31">
        <f t="shared" si="5"/>
        <v>0.90959999999999996</v>
      </c>
      <c r="M94" s="31">
        <f t="shared" si="6"/>
        <v>1.516</v>
      </c>
      <c r="N94" s="31">
        <f t="shared" si="9"/>
        <v>5.4576000000000002</v>
      </c>
    </row>
    <row r="95" spans="1:14" x14ac:dyDescent="0.25">
      <c r="A95" s="39">
        <f t="shared" si="8"/>
        <v>92</v>
      </c>
      <c r="B95" s="18">
        <v>26</v>
      </c>
      <c r="C95" s="33" t="s">
        <v>223</v>
      </c>
      <c r="D95" s="18" t="s">
        <v>228</v>
      </c>
      <c r="E95" s="142">
        <v>3507</v>
      </c>
      <c r="F95" s="18">
        <v>3507</v>
      </c>
      <c r="G95" s="142">
        <v>10</v>
      </c>
      <c r="H95" s="18">
        <v>10</v>
      </c>
      <c r="I95" s="18">
        <v>100</v>
      </c>
      <c r="J95" s="34">
        <v>0.05</v>
      </c>
      <c r="K95" s="31">
        <f t="shared" si="7"/>
        <v>3.5070000000000001</v>
      </c>
      <c r="L95" s="31">
        <f t="shared" si="5"/>
        <v>1.0521</v>
      </c>
      <c r="M95" s="31">
        <f t="shared" si="6"/>
        <v>1.7535000000000003</v>
      </c>
      <c r="N95" s="31">
        <f t="shared" si="9"/>
        <v>6.3125999999999998</v>
      </c>
    </row>
    <row r="96" spans="1:14" x14ac:dyDescent="0.25">
      <c r="A96" s="39">
        <f t="shared" si="8"/>
        <v>93</v>
      </c>
      <c r="B96" s="18">
        <v>27</v>
      </c>
      <c r="C96" s="33" t="s">
        <v>229</v>
      </c>
      <c r="D96" s="18" t="s">
        <v>224</v>
      </c>
      <c r="E96" s="142">
        <v>2448</v>
      </c>
      <c r="F96" s="18">
        <v>2448</v>
      </c>
      <c r="G96" s="142">
        <v>10</v>
      </c>
      <c r="H96" s="18">
        <v>10</v>
      </c>
      <c r="I96" s="18">
        <v>100</v>
      </c>
      <c r="J96" s="34">
        <v>0.05</v>
      </c>
      <c r="K96" s="31">
        <f t="shared" si="7"/>
        <v>2.448</v>
      </c>
      <c r="L96" s="31">
        <f t="shared" si="5"/>
        <v>0.73439999999999994</v>
      </c>
      <c r="M96" s="31">
        <f t="shared" si="6"/>
        <v>1.224</v>
      </c>
      <c r="N96" s="31">
        <f t="shared" si="9"/>
        <v>4.4063999999999997</v>
      </c>
    </row>
    <row r="97" spans="1:14" x14ac:dyDescent="0.25">
      <c r="A97" s="39">
        <f t="shared" si="8"/>
        <v>94</v>
      </c>
      <c r="B97" s="18">
        <v>27</v>
      </c>
      <c r="C97" s="33" t="s">
        <v>229</v>
      </c>
      <c r="D97" s="18" t="s">
        <v>225</v>
      </c>
      <c r="E97" s="142">
        <v>3142</v>
      </c>
      <c r="F97" s="18">
        <v>3142</v>
      </c>
      <c r="G97" s="142">
        <v>10</v>
      </c>
      <c r="H97" s="18">
        <v>10</v>
      </c>
      <c r="I97" s="18">
        <v>100</v>
      </c>
      <c r="J97" s="34">
        <v>0.05</v>
      </c>
      <c r="K97" s="31">
        <f t="shared" si="7"/>
        <v>3.1419999999999999</v>
      </c>
      <c r="L97" s="31">
        <f t="shared" si="5"/>
        <v>0.94259999999999999</v>
      </c>
      <c r="M97" s="31">
        <f t="shared" si="6"/>
        <v>1.5710000000000002</v>
      </c>
      <c r="N97" s="31">
        <f t="shared" si="9"/>
        <v>5.6555999999999997</v>
      </c>
    </row>
    <row r="98" spans="1:14" x14ac:dyDescent="0.25">
      <c r="A98" s="39">
        <f t="shared" si="8"/>
        <v>95</v>
      </c>
      <c r="B98" s="18">
        <v>27</v>
      </c>
      <c r="C98" s="33" t="s">
        <v>229</v>
      </c>
      <c r="D98" s="18" t="s">
        <v>226</v>
      </c>
      <c r="E98" s="142">
        <v>3872</v>
      </c>
      <c r="F98" s="18">
        <v>3872</v>
      </c>
      <c r="G98" s="142">
        <v>10</v>
      </c>
      <c r="H98" s="18">
        <v>10</v>
      </c>
      <c r="I98" s="18">
        <v>100</v>
      </c>
      <c r="J98" s="34">
        <v>0.05</v>
      </c>
      <c r="K98" s="31">
        <f t="shared" si="7"/>
        <v>3.8719999999999999</v>
      </c>
      <c r="L98" s="31">
        <f t="shared" si="5"/>
        <v>1.1616</v>
      </c>
      <c r="M98" s="31">
        <f t="shared" si="6"/>
        <v>1.9360000000000002</v>
      </c>
      <c r="N98" s="31">
        <f t="shared" si="9"/>
        <v>6.9695999999999998</v>
      </c>
    </row>
    <row r="99" spans="1:14" x14ac:dyDescent="0.25">
      <c r="A99" s="39">
        <f t="shared" si="8"/>
        <v>96</v>
      </c>
      <c r="B99" s="18">
        <v>27</v>
      </c>
      <c r="C99" s="33" t="s">
        <v>229</v>
      </c>
      <c r="D99" s="18" t="s">
        <v>227</v>
      </c>
      <c r="E99" s="142">
        <v>4566</v>
      </c>
      <c r="F99" s="18">
        <v>4566</v>
      </c>
      <c r="G99" s="142">
        <v>10</v>
      </c>
      <c r="H99" s="18">
        <v>10</v>
      </c>
      <c r="I99" s="18">
        <v>100</v>
      </c>
      <c r="J99" s="34">
        <v>0.05</v>
      </c>
      <c r="K99" s="31">
        <f t="shared" si="7"/>
        <v>4.5659999999999998</v>
      </c>
      <c r="L99" s="31">
        <f t="shared" si="5"/>
        <v>1.3697999999999999</v>
      </c>
      <c r="M99" s="31">
        <f t="shared" si="6"/>
        <v>2.2829999999999999</v>
      </c>
      <c r="N99" s="31">
        <f t="shared" si="9"/>
        <v>8.2187999999999999</v>
      </c>
    </row>
    <row r="100" spans="1:14" x14ac:dyDescent="0.25">
      <c r="A100" s="39">
        <f t="shared" si="8"/>
        <v>97</v>
      </c>
      <c r="B100" s="18">
        <v>27</v>
      </c>
      <c r="C100" s="33" t="s">
        <v>229</v>
      </c>
      <c r="D100" s="18" t="s">
        <v>228</v>
      </c>
      <c r="E100" s="142">
        <v>5260</v>
      </c>
      <c r="F100" s="18">
        <v>5260</v>
      </c>
      <c r="G100" s="142">
        <v>10</v>
      </c>
      <c r="H100" s="18">
        <v>10</v>
      </c>
      <c r="I100" s="18">
        <v>100</v>
      </c>
      <c r="J100" s="34">
        <v>0.05</v>
      </c>
      <c r="K100" s="31">
        <f t="shared" si="7"/>
        <v>5.26</v>
      </c>
      <c r="L100" s="31">
        <f t="shared" si="5"/>
        <v>1.5780000000000001</v>
      </c>
      <c r="M100" s="31">
        <f t="shared" si="6"/>
        <v>2.63</v>
      </c>
      <c r="N100" s="31">
        <f t="shared" si="9"/>
        <v>9.468</v>
      </c>
    </row>
    <row r="101" spans="1:14" x14ac:dyDescent="0.25">
      <c r="A101" s="39">
        <f t="shared" si="8"/>
        <v>98</v>
      </c>
      <c r="B101" s="18">
        <v>28</v>
      </c>
      <c r="C101" s="33" t="s">
        <v>230</v>
      </c>
      <c r="D101" s="18" t="s">
        <v>200</v>
      </c>
      <c r="E101" s="142">
        <v>588</v>
      </c>
      <c r="F101" s="18">
        <v>588</v>
      </c>
      <c r="G101" s="142">
        <v>10</v>
      </c>
      <c r="H101" s="18">
        <v>10</v>
      </c>
      <c r="I101" s="18">
        <v>100</v>
      </c>
      <c r="J101" s="34">
        <v>7.0000000000000007E-2</v>
      </c>
      <c r="K101" s="31">
        <f t="shared" si="7"/>
        <v>0.58799999999999997</v>
      </c>
      <c r="L101" s="31">
        <f t="shared" si="5"/>
        <v>0.1764</v>
      </c>
      <c r="M101" s="31">
        <f t="shared" si="6"/>
        <v>0.41160000000000002</v>
      </c>
      <c r="N101" s="31">
        <f t="shared" si="9"/>
        <v>1.1759999999999999</v>
      </c>
    </row>
    <row r="102" spans="1:14" x14ac:dyDescent="0.25">
      <c r="A102" s="39">
        <f t="shared" si="8"/>
        <v>99</v>
      </c>
      <c r="B102" s="18">
        <v>28</v>
      </c>
      <c r="C102" s="33" t="s">
        <v>230</v>
      </c>
      <c r="D102" s="18" t="s">
        <v>201</v>
      </c>
      <c r="E102" s="142">
        <v>850</v>
      </c>
      <c r="F102" s="18">
        <v>850</v>
      </c>
      <c r="G102" s="142">
        <v>10</v>
      </c>
      <c r="H102" s="18">
        <v>10</v>
      </c>
      <c r="I102" s="18">
        <v>100</v>
      </c>
      <c r="J102" s="34">
        <v>7.0000000000000007E-2</v>
      </c>
      <c r="K102" s="31">
        <f t="shared" si="7"/>
        <v>0.85</v>
      </c>
      <c r="L102" s="31">
        <f t="shared" si="5"/>
        <v>0.255</v>
      </c>
      <c r="M102" s="31">
        <f t="shared" si="6"/>
        <v>0.59500000000000008</v>
      </c>
      <c r="N102" s="31">
        <f t="shared" si="9"/>
        <v>1.7000000000000002</v>
      </c>
    </row>
    <row r="103" spans="1:14" x14ac:dyDescent="0.25">
      <c r="A103" s="39">
        <f t="shared" si="8"/>
        <v>100</v>
      </c>
      <c r="B103" s="18">
        <v>28</v>
      </c>
      <c r="C103" s="33" t="s">
        <v>230</v>
      </c>
      <c r="D103" s="18" t="s">
        <v>202</v>
      </c>
      <c r="E103" s="142">
        <v>1113</v>
      </c>
      <c r="F103" s="18">
        <v>1110</v>
      </c>
      <c r="G103" s="142">
        <v>10</v>
      </c>
      <c r="H103" s="18">
        <v>10</v>
      </c>
      <c r="I103" s="18">
        <v>100</v>
      </c>
      <c r="J103" s="34">
        <v>7.0000000000000007E-2</v>
      </c>
      <c r="K103" s="31">
        <f t="shared" si="7"/>
        <v>1.1100000000000001</v>
      </c>
      <c r="L103" s="31">
        <f t="shared" si="5"/>
        <v>0.33299999999999996</v>
      </c>
      <c r="M103" s="31">
        <f t="shared" si="6"/>
        <v>0.77700000000000002</v>
      </c>
      <c r="N103" s="31">
        <f t="shared" si="9"/>
        <v>2.2200000000000002</v>
      </c>
    </row>
    <row r="104" spans="1:14" x14ac:dyDescent="0.25">
      <c r="A104" s="39">
        <f t="shared" si="8"/>
        <v>101</v>
      </c>
      <c r="B104" s="18">
        <v>28</v>
      </c>
      <c r="C104" s="33" t="s">
        <v>230</v>
      </c>
      <c r="D104" s="18" t="s">
        <v>231</v>
      </c>
      <c r="E104" s="142">
        <v>1376</v>
      </c>
      <c r="F104" s="18">
        <v>1376</v>
      </c>
      <c r="G104" s="142">
        <v>10</v>
      </c>
      <c r="H104" s="18">
        <v>10</v>
      </c>
      <c r="I104" s="18">
        <v>100</v>
      </c>
      <c r="J104" s="34">
        <v>7.0000000000000007E-2</v>
      </c>
      <c r="K104" s="31">
        <f t="shared" si="7"/>
        <v>1.3759999999999999</v>
      </c>
      <c r="L104" s="31">
        <f t="shared" si="5"/>
        <v>0.4128</v>
      </c>
      <c r="M104" s="31">
        <f t="shared" si="6"/>
        <v>0.96320000000000006</v>
      </c>
      <c r="N104" s="31">
        <f t="shared" si="9"/>
        <v>2.7519999999999998</v>
      </c>
    </row>
    <row r="105" spans="1:14" x14ac:dyDescent="0.25">
      <c r="A105" s="39">
        <f t="shared" si="8"/>
        <v>102</v>
      </c>
      <c r="B105" s="18">
        <v>29</v>
      </c>
      <c r="C105" s="33" t="s">
        <v>232</v>
      </c>
      <c r="D105" s="18" t="s">
        <v>233</v>
      </c>
      <c r="E105" s="142">
        <v>1688</v>
      </c>
      <c r="F105" s="18">
        <v>1688</v>
      </c>
      <c r="G105" s="142">
        <v>10</v>
      </c>
      <c r="H105" s="18">
        <v>10</v>
      </c>
      <c r="I105" s="18">
        <v>100</v>
      </c>
      <c r="J105" s="34">
        <v>0.01</v>
      </c>
      <c r="K105" s="31">
        <f t="shared" si="7"/>
        <v>1.6879999999999999</v>
      </c>
      <c r="L105" s="31">
        <f t="shared" si="5"/>
        <v>0.50639999999999996</v>
      </c>
      <c r="M105" s="31">
        <f t="shared" si="6"/>
        <v>0.16879999999999998</v>
      </c>
      <c r="N105" s="31">
        <f t="shared" si="9"/>
        <v>2.3632</v>
      </c>
    </row>
    <row r="106" spans="1:14" x14ac:dyDescent="0.25">
      <c r="A106" s="39">
        <f t="shared" si="8"/>
        <v>103</v>
      </c>
      <c r="B106" s="18">
        <v>29</v>
      </c>
      <c r="C106" s="33" t="s">
        <v>232</v>
      </c>
      <c r="D106" s="18" t="s">
        <v>234</v>
      </c>
      <c r="E106" s="142">
        <v>2172</v>
      </c>
      <c r="F106" s="18">
        <v>2172</v>
      </c>
      <c r="G106" s="142">
        <v>10</v>
      </c>
      <c r="H106" s="18">
        <v>10</v>
      </c>
      <c r="I106" s="18">
        <v>100</v>
      </c>
      <c r="J106" s="34">
        <v>0.01</v>
      </c>
      <c r="K106" s="31">
        <f t="shared" si="7"/>
        <v>2.1720000000000002</v>
      </c>
      <c r="L106" s="31">
        <f t="shared" si="5"/>
        <v>0.65159999999999996</v>
      </c>
      <c r="M106" s="31">
        <f t="shared" si="6"/>
        <v>0.21719999999999998</v>
      </c>
      <c r="N106" s="31">
        <f t="shared" si="9"/>
        <v>3.0407999999999999</v>
      </c>
    </row>
    <row r="107" spans="1:14" x14ac:dyDescent="0.25">
      <c r="A107" s="39">
        <f t="shared" si="8"/>
        <v>104</v>
      </c>
      <c r="B107" s="18">
        <v>29</v>
      </c>
      <c r="C107" s="33" t="s">
        <v>232</v>
      </c>
      <c r="D107" s="18" t="s">
        <v>147</v>
      </c>
      <c r="E107" s="142">
        <v>2656</v>
      </c>
      <c r="F107" s="18">
        <v>2656</v>
      </c>
      <c r="G107" s="142">
        <v>10</v>
      </c>
      <c r="H107" s="18">
        <v>10</v>
      </c>
      <c r="I107" s="18">
        <v>100</v>
      </c>
      <c r="J107" s="34">
        <v>0.01</v>
      </c>
      <c r="K107" s="31">
        <f t="shared" si="7"/>
        <v>2.6560000000000001</v>
      </c>
      <c r="L107" s="31">
        <f t="shared" si="5"/>
        <v>0.79679999999999995</v>
      </c>
      <c r="M107" s="31">
        <f t="shared" si="6"/>
        <v>0.2656</v>
      </c>
      <c r="N107" s="31">
        <f t="shared" si="9"/>
        <v>3.7183999999999999</v>
      </c>
    </row>
    <row r="108" spans="1:14" x14ac:dyDescent="0.25">
      <c r="A108" s="39">
        <f t="shared" si="8"/>
        <v>105</v>
      </c>
      <c r="B108" s="18">
        <v>30</v>
      </c>
      <c r="C108" s="33" t="s">
        <v>235</v>
      </c>
      <c r="D108" s="18" t="s">
        <v>236</v>
      </c>
      <c r="E108" s="142">
        <v>1936</v>
      </c>
      <c r="F108" s="18">
        <v>1930</v>
      </c>
      <c r="G108" s="142">
        <v>10</v>
      </c>
      <c r="H108" s="18">
        <v>10</v>
      </c>
      <c r="I108" s="18">
        <v>100</v>
      </c>
      <c r="J108" s="34">
        <v>0.05</v>
      </c>
      <c r="K108" s="31">
        <f t="shared" si="7"/>
        <v>1.93</v>
      </c>
      <c r="L108" s="31">
        <f t="shared" si="5"/>
        <v>0.57899999999999996</v>
      </c>
      <c r="M108" s="31">
        <f t="shared" si="6"/>
        <v>0.96499999999999997</v>
      </c>
      <c r="N108" s="31">
        <f t="shared" si="9"/>
        <v>3.4739999999999998</v>
      </c>
    </row>
    <row r="109" spans="1:14" x14ac:dyDescent="0.25">
      <c r="A109" s="39">
        <f t="shared" si="8"/>
        <v>106</v>
      </c>
      <c r="B109" s="18">
        <v>31</v>
      </c>
      <c r="C109" s="33" t="s">
        <v>237</v>
      </c>
      <c r="D109" s="18" t="s">
        <v>200</v>
      </c>
      <c r="E109" s="142">
        <v>2849</v>
      </c>
      <c r="F109" s="18">
        <v>2849</v>
      </c>
      <c r="G109" s="142">
        <v>10</v>
      </c>
      <c r="H109" s="18">
        <v>10</v>
      </c>
      <c r="I109" s="18">
        <v>100</v>
      </c>
      <c r="J109" s="34">
        <v>0.05</v>
      </c>
      <c r="K109" s="31">
        <f t="shared" si="7"/>
        <v>2.8490000000000002</v>
      </c>
      <c r="L109" s="31">
        <f t="shared" si="5"/>
        <v>0.8546999999999999</v>
      </c>
      <c r="M109" s="31">
        <f t="shared" si="6"/>
        <v>1.4245000000000001</v>
      </c>
      <c r="N109" s="31">
        <f t="shared" si="9"/>
        <v>5.1281999999999996</v>
      </c>
    </row>
    <row r="110" spans="1:14" x14ac:dyDescent="0.25">
      <c r="A110" s="39">
        <f t="shared" si="8"/>
        <v>107</v>
      </c>
      <c r="B110" s="18">
        <v>32</v>
      </c>
      <c r="C110" s="33" t="s">
        <v>238</v>
      </c>
      <c r="D110" s="18" t="s">
        <v>239</v>
      </c>
      <c r="E110" s="142">
        <v>3105</v>
      </c>
      <c r="F110" s="18">
        <v>3105</v>
      </c>
      <c r="G110" s="142">
        <v>10</v>
      </c>
      <c r="H110" s="18">
        <v>10</v>
      </c>
      <c r="I110" s="18">
        <v>100</v>
      </c>
      <c r="J110" s="34">
        <v>0.05</v>
      </c>
      <c r="K110" s="31">
        <f t="shared" si="7"/>
        <v>3.105</v>
      </c>
      <c r="L110" s="31">
        <f t="shared" si="5"/>
        <v>0.93149999999999999</v>
      </c>
      <c r="M110" s="31">
        <f t="shared" si="6"/>
        <v>1.5525</v>
      </c>
      <c r="N110" s="31">
        <f t="shared" si="9"/>
        <v>5.5890000000000004</v>
      </c>
    </row>
    <row r="111" spans="1:14" x14ac:dyDescent="0.25">
      <c r="A111" s="39">
        <f t="shared" si="8"/>
        <v>108</v>
      </c>
      <c r="B111" s="18">
        <v>32</v>
      </c>
      <c r="C111" s="33" t="s">
        <v>238</v>
      </c>
      <c r="D111" s="18" t="s">
        <v>240</v>
      </c>
      <c r="E111" s="142">
        <v>3690</v>
      </c>
      <c r="F111" s="18">
        <v>3690</v>
      </c>
      <c r="G111" s="142">
        <v>10</v>
      </c>
      <c r="H111" s="18">
        <v>10</v>
      </c>
      <c r="I111" s="18">
        <v>100</v>
      </c>
      <c r="J111" s="34">
        <v>0.05</v>
      </c>
      <c r="K111" s="31">
        <f t="shared" si="7"/>
        <v>3.69</v>
      </c>
      <c r="L111" s="31">
        <f t="shared" si="5"/>
        <v>1.107</v>
      </c>
      <c r="M111" s="31">
        <f t="shared" si="6"/>
        <v>1.845</v>
      </c>
      <c r="N111" s="31">
        <f t="shared" si="9"/>
        <v>6.6419999999999995</v>
      </c>
    </row>
    <row r="112" spans="1:14" x14ac:dyDescent="0.25">
      <c r="A112" s="39">
        <f t="shared" si="8"/>
        <v>109</v>
      </c>
      <c r="B112" s="18">
        <v>33</v>
      </c>
      <c r="C112" s="33" t="s">
        <v>241</v>
      </c>
      <c r="D112" s="18" t="s">
        <v>242</v>
      </c>
      <c r="E112" s="142">
        <v>7416</v>
      </c>
      <c r="F112" s="18">
        <v>7416</v>
      </c>
      <c r="G112" s="142">
        <v>10</v>
      </c>
      <c r="H112" s="18">
        <v>10</v>
      </c>
      <c r="I112" s="18">
        <v>100</v>
      </c>
      <c r="J112" s="34">
        <v>0.03</v>
      </c>
      <c r="K112" s="31">
        <f t="shared" si="7"/>
        <v>7.4160000000000004</v>
      </c>
      <c r="L112" s="31">
        <f t="shared" si="5"/>
        <v>2.2247999999999997</v>
      </c>
      <c r="M112" s="31">
        <f t="shared" si="6"/>
        <v>2.2248000000000001</v>
      </c>
      <c r="N112" s="31">
        <f t="shared" si="9"/>
        <v>11.865600000000001</v>
      </c>
    </row>
    <row r="113" spans="1:14" x14ac:dyDescent="0.25">
      <c r="A113" s="39">
        <f t="shared" si="8"/>
        <v>110</v>
      </c>
      <c r="B113" s="18">
        <v>33</v>
      </c>
      <c r="C113" s="33" t="s">
        <v>241</v>
      </c>
      <c r="D113" s="18" t="s">
        <v>243</v>
      </c>
      <c r="E113" s="142">
        <v>9900</v>
      </c>
      <c r="F113" s="18">
        <v>9900</v>
      </c>
      <c r="G113" s="142">
        <v>10</v>
      </c>
      <c r="H113" s="18">
        <v>10</v>
      </c>
      <c r="I113" s="18">
        <v>100</v>
      </c>
      <c r="J113" s="34">
        <v>0.03</v>
      </c>
      <c r="K113" s="31">
        <f t="shared" si="7"/>
        <v>9.9</v>
      </c>
      <c r="L113" s="31">
        <f t="shared" si="5"/>
        <v>2.9699999999999998</v>
      </c>
      <c r="M113" s="31">
        <f t="shared" si="6"/>
        <v>2.97</v>
      </c>
      <c r="N113" s="31">
        <f t="shared" si="9"/>
        <v>15.840000000000002</v>
      </c>
    </row>
    <row r="114" spans="1:14" x14ac:dyDescent="0.25">
      <c r="A114" s="39">
        <f t="shared" si="8"/>
        <v>111</v>
      </c>
      <c r="B114" s="18">
        <v>33</v>
      </c>
      <c r="C114" s="33" t="s">
        <v>241</v>
      </c>
      <c r="D114" s="18" t="s">
        <v>137</v>
      </c>
      <c r="E114" s="142">
        <v>12420</v>
      </c>
      <c r="F114" s="18">
        <v>12420</v>
      </c>
      <c r="G114" s="142">
        <v>10</v>
      </c>
      <c r="H114" s="18">
        <v>10</v>
      </c>
      <c r="I114" s="18">
        <v>100</v>
      </c>
      <c r="J114" s="34">
        <v>0.03</v>
      </c>
      <c r="K114" s="31">
        <f t="shared" si="7"/>
        <v>12.42</v>
      </c>
      <c r="L114" s="31">
        <f t="shared" si="5"/>
        <v>3.726</v>
      </c>
      <c r="M114" s="31">
        <f t="shared" si="6"/>
        <v>3.7259999999999995</v>
      </c>
      <c r="N114" s="31">
        <f t="shared" si="9"/>
        <v>19.872</v>
      </c>
    </row>
    <row r="115" spans="1:14" x14ac:dyDescent="0.25">
      <c r="A115" s="39">
        <f t="shared" si="8"/>
        <v>112</v>
      </c>
      <c r="B115" s="18">
        <v>33</v>
      </c>
      <c r="C115" s="33" t="s">
        <v>241</v>
      </c>
      <c r="D115" s="18" t="s">
        <v>138</v>
      </c>
      <c r="E115" s="142">
        <v>14905</v>
      </c>
      <c r="F115" s="18">
        <v>14905</v>
      </c>
      <c r="G115" s="142">
        <v>10</v>
      </c>
      <c r="H115" s="18">
        <v>10</v>
      </c>
      <c r="I115" s="18">
        <v>100</v>
      </c>
      <c r="J115" s="34">
        <v>0.03</v>
      </c>
      <c r="K115" s="31">
        <f t="shared" si="7"/>
        <v>14.904999999999999</v>
      </c>
      <c r="L115" s="31">
        <f t="shared" si="5"/>
        <v>4.4714999999999998</v>
      </c>
      <c r="M115" s="31">
        <f t="shared" si="6"/>
        <v>4.4714999999999998</v>
      </c>
      <c r="N115" s="31">
        <f t="shared" si="9"/>
        <v>23.847999999999999</v>
      </c>
    </row>
    <row r="116" spans="1:14" x14ac:dyDescent="0.25">
      <c r="A116" s="39">
        <f t="shared" si="8"/>
        <v>113</v>
      </c>
      <c r="B116" s="18">
        <v>34</v>
      </c>
      <c r="C116" s="33" t="s">
        <v>244</v>
      </c>
      <c r="D116" s="18" t="s">
        <v>147</v>
      </c>
      <c r="E116" s="142">
        <v>16475</v>
      </c>
      <c r="F116" s="18">
        <v>16475</v>
      </c>
      <c r="G116" s="142">
        <v>10</v>
      </c>
      <c r="H116" s="18">
        <v>10</v>
      </c>
      <c r="I116" s="18">
        <v>100</v>
      </c>
      <c r="J116" s="34">
        <v>1.6E-2</v>
      </c>
      <c r="K116" s="31">
        <f t="shared" si="7"/>
        <v>16.475000000000001</v>
      </c>
      <c r="L116" s="31">
        <f t="shared" si="5"/>
        <v>4.9424999999999999</v>
      </c>
      <c r="M116" s="31">
        <f t="shared" si="6"/>
        <v>2.6360000000000001</v>
      </c>
      <c r="N116" s="31">
        <f t="shared" si="9"/>
        <v>24.0535</v>
      </c>
    </row>
    <row r="117" spans="1:14" x14ac:dyDescent="0.25">
      <c r="A117" s="39">
        <f t="shared" si="8"/>
        <v>114</v>
      </c>
      <c r="B117" s="18">
        <v>34</v>
      </c>
      <c r="C117" s="33" t="s">
        <v>244</v>
      </c>
      <c r="D117" s="18" t="s">
        <v>245</v>
      </c>
      <c r="E117" s="142">
        <v>18959</v>
      </c>
      <c r="F117" s="18">
        <v>18959</v>
      </c>
      <c r="G117" s="142">
        <v>10</v>
      </c>
      <c r="H117" s="18">
        <v>10</v>
      </c>
      <c r="I117" s="18">
        <v>100</v>
      </c>
      <c r="J117" s="34">
        <v>1.6E-2</v>
      </c>
      <c r="K117" s="31">
        <f t="shared" si="7"/>
        <v>18.959</v>
      </c>
      <c r="L117" s="31">
        <f t="shared" si="5"/>
        <v>5.6876999999999995</v>
      </c>
      <c r="M117" s="31">
        <f t="shared" si="6"/>
        <v>3.0334400000000001</v>
      </c>
      <c r="N117" s="31">
        <f t="shared" si="9"/>
        <v>27.680139999999998</v>
      </c>
    </row>
    <row r="118" spans="1:14" x14ac:dyDescent="0.25">
      <c r="A118" s="39">
        <f t="shared" si="8"/>
        <v>115</v>
      </c>
      <c r="B118" s="18">
        <v>35</v>
      </c>
      <c r="C118" s="33" t="s">
        <v>246</v>
      </c>
      <c r="D118" s="18" t="s">
        <v>142</v>
      </c>
      <c r="E118" s="142">
        <v>3909</v>
      </c>
      <c r="F118" s="18">
        <v>3909</v>
      </c>
      <c r="G118" s="142">
        <v>10</v>
      </c>
      <c r="H118" s="18">
        <v>10</v>
      </c>
      <c r="I118" s="18">
        <v>100</v>
      </c>
      <c r="J118" s="34">
        <v>0.03</v>
      </c>
      <c r="K118" s="31">
        <f t="shared" si="7"/>
        <v>3.9089999999999998</v>
      </c>
      <c r="L118" s="31">
        <f t="shared" si="5"/>
        <v>1.1727000000000001</v>
      </c>
      <c r="M118" s="31">
        <f t="shared" si="6"/>
        <v>1.1726999999999999</v>
      </c>
      <c r="N118" s="31">
        <f t="shared" si="9"/>
        <v>6.2543999999999995</v>
      </c>
    </row>
    <row r="119" spans="1:14" x14ac:dyDescent="0.25">
      <c r="A119" s="39">
        <f t="shared" si="8"/>
        <v>116</v>
      </c>
      <c r="B119" s="18">
        <v>36</v>
      </c>
      <c r="C119" s="33" t="s">
        <v>247</v>
      </c>
      <c r="D119" s="18" t="s">
        <v>248</v>
      </c>
      <c r="E119" s="142">
        <v>4639</v>
      </c>
      <c r="F119" s="18">
        <v>4639</v>
      </c>
      <c r="G119" s="142">
        <v>10</v>
      </c>
      <c r="H119" s="18">
        <v>10</v>
      </c>
      <c r="I119" s="18">
        <v>100</v>
      </c>
      <c r="J119" s="34">
        <v>0.03</v>
      </c>
      <c r="K119" s="31">
        <f t="shared" si="7"/>
        <v>4.6390000000000002</v>
      </c>
      <c r="L119" s="31">
        <f t="shared" si="5"/>
        <v>1.3916999999999999</v>
      </c>
      <c r="M119" s="31">
        <f t="shared" si="6"/>
        <v>1.3916999999999999</v>
      </c>
      <c r="N119" s="31">
        <f t="shared" si="9"/>
        <v>7.4224000000000006</v>
      </c>
    </row>
    <row r="120" spans="1:14" x14ac:dyDescent="0.25">
      <c r="A120" s="39">
        <f t="shared" si="8"/>
        <v>117</v>
      </c>
      <c r="B120" s="18">
        <v>36</v>
      </c>
      <c r="C120" s="33" t="s">
        <v>247</v>
      </c>
      <c r="D120" s="18" t="s">
        <v>249</v>
      </c>
      <c r="E120" s="142">
        <v>5955</v>
      </c>
      <c r="F120" s="18">
        <v>5950</v>
      </c>
      <c r="G120" s="142">
        <v>10</v>
      </c>
      <c r="H120" s="18">
        <v>10</v>
      </c>
      <c r="I120" s="18">
        <v>100</v>
      </c>
      <c r="J120" s="34">
        <v>0.03</v>
      </c>
      <c r="K120" s="31">
        <f t="shared" si="7"/>
        <v>5.95</v>
      </c>
      <c r="L120" s="31">
        <f t="shared" si="5"/>
        <v>1.7849999999999999</v>
      </c>
      <c r="M120" s="31">
        <f t="shared" si="6"/>
        <v>1.7849999999999999</v>
      </c>
      <c r="N120" s="31">
        <f t="shared" si="9"/>
        <v>9.52</v>
      </c>
    </row>
    <row r="121" spans="1:14" x14ac:dyDescent="0.25">
      <c r="A121" s="39">
        <f t="shared" si="8"/>
        <v>118</v>
      </c>
      <c r="B121" s="18">
        <v>36</v>
      </c>
      <c r="C121" s="33" t="s">
        <v>247</v>
      </c>
      <c r="D121" s="18" t="s">
        <v>239</v>
      </c>
      <c r="E121" s="142">
        <v>7270</v>
      </c>
      <c r="F121" s="18">
        <v>7270</v>
      </c>
      <c r="G121" s="142">
        <v>10</v>
      </c>
      <c r="H121" s="18">
        <v>10</v>
      </c>
      <c r="I121" s="18">
        <v>100</v>
      </c>
      <c r="J121" s="34">
        <v>0.03</v>
      </c>
      <c r="K121" s="31">
        <f t="shared" si="7"/>
        <v>7.27</v>
      </c>
      <c r="L121" s="31">
        <f t="shared" si="5"/>
        <v>2.181</v>
      </c>
      <c r="M121" s="31">
        <f t="shared" si="6"/>
        <v>2.181</v>
      </c>
      <c r="N121" s="31">
        <f t="shared" si="9"/>
        <v>11.632000000000001</v>
      </c>
    </row>
    <row r="122" spans="1:14" x14ac:dyDescent="0.25">
      <c r="A122" s="39">
        <f t="shared" si="8"/>
        <v>119</v>
      </c>
      <c r="B122" s="18">
        <v>36</v>
      </c>
      <c r="C122" s="33" t="s">
        <v>247</v>
      </c>
      <c r="D122" s="18" t="s">
        <v>250</v>
      </c>
      <c r="E122" s="142">
        <v>8585</v>
      </c>
      <c r="F122" s="18">
        <v>8585</v>
      </c>
      <c r="G122" s="142">
        <v>10</v>
      </c>
      <c r="H122" s="18">
        <v>10</v>
      </c>
      <c r="I122" s="18">
        <v>100</v>
      </c>
      <c r="J122" s="34">
        <v>0.03</v>
      </c>
      <c r="K122" s="31">
        <f t="shared" si="7"/>
        <v>8.5850000000000009</v>
      </c>
      <c r="L122" s="31">
        <f t="shared" si="5"/>
        <v>2.5754999999999999</v>
      </c>
      <c r="M122" s="31">
        <f t="shared" si="6"/>
        <v>2.5754999999999999</v>
      </c>
      <c r="N122" s="31">
        <f t="shared" si="9"/>
        <v>13.736000000000001</v>
      </c>
    </row>
    <row r="123" spans="1:14" x14ac:dyDescent="0.25">
      <c r="A123" s="39">
        <f t="shared" si="8"/>
        <v>120</v>
      </c>
      <c r="B123" s="18">
        <v>36</v>
      </c>
      <c r="C123" s="33" t="s">
        <v>247</v>
      </c>
      <c r="D123" s="18" t="s">
        <v>240</v>
      </c>
      <c r="E123" s="142">
        <v>9936</v>
      </c>
      <c r="F123" s="18">
        <v>9936</v>
      </c>
      <c r="G123" s="142">
        <v>10</v>
      </c>
      <c r="H123" s="18">
        <v>10</v>
      </c>
      <c r="I123" s="18">
        <v>100</v>
      </c>
      <c r="J123" s="34">
        <v>0.03</v>
      </c>
      <c r="K123" s="31">
        <f t="shared" si="7"/>
        <v>9.9359999999999999</v>
      </c>
      <c r="L123" s="31">
        <f t="shared" si="5"/>
        <v>2.9807999999999999</v>
      </c>
      <c r="M123" s="31">
        <f t="shared" si="6"/>
        <v>2.9807999999999999</v>
      </c>
      <c r="N123" s="31">
        <f t="shared" si="9"/>
        <v>15.897600000000001</v>
      </c>
    </row>
    <row r="124" spans="1:14" x14ac:dyDescent="0.25">
      <c r="A124" s="39">
        <f t="shared" si="8"/>
        <v>121</v>
      </c>
      <c r="B124" s="18">
        <v>37</v>
      </c>
      <c r="C124" s="33" t="s">
        <v>251</v>
      </c>
      <c r="D124" s="18" t="s">
        <v>252</v>
      </c>
      <c r="E124" s="142">
        <v>2472</v>
      </c>
      <c r="F124" s="18">
        <v>2472</v>
      </c>
      <c r="G124" s="142">
        <v>10</v>
      </c>
      <c r="H124" s="18">
        <v>10</v>
      </c>
      <c r="I124" s="18">
        <v>100</v>
      </c>
      <c r="J124" s="34">
        <v>0.05</v>
      </c>
      <c r="K124" s="31">
        <f t="shared" si="7"/>
        <v>2.472</v>
      </c>
      <c r="L124" s="31">
        <f t="shared" si="5"/>
        <v>0.74159999999999993</v>
      </c>
      <c r="M124" s="31">
        <f t="shared" si="6"/>
        <v>1.236</v>
      </c>
      <c r="N124" s="31">
        <f t="shared" si="9"/>
        <v>4.4496000000000002</v>
      </c>
    </row>
    <row r="125" spans="1:14" x14ac:dyDescent="0.25">
      <c r="A125" s="39">
        <f t="shared" si="8"/>
        <v>122</v>
      </c>
      <c r="B125" s="18">
        <v>37</v>
      </c>
      <c r="C125" s="33" t="s">
        <v>251</v>
      </c>
      <c r="D125" s="18" t="s">
        <v>253</v>
      </c>
      <c r="E125" s="142">
        <v>2676</v>
      </c>
      <c r="F125" s="18">
        <v>2676</v>
      </c>
      <c r="G125" s="142">
        <v>10</v>
      </c>
      <c r="H125" s="18">
        <v>10</v>
      </c>
      <c r="I125" s="18">
        <v>100</v>
      </c>
      <c r="J125" s="34">
        <v>0.05</v>
      </c>
      <c r="K125" s="31">
        <f t="shared" si="7"/>
        <v>2.6760000000000002</v>
      </c>
      <c r="L125" s="31">
        <f t="shared" si="5"/>
        <v>0.80280000000000007</v>
      </c>
      <c r="M125" s="31">
        <f t="shared" si="6"/>
        <v>1.3380000000000001</v>
      </c>
      <c r="N125" s="31">
        <f t="shared" si="9"/>
        <v>4.8168000000000006</v>
      </c>
    </row>
    <row r="126" spans="1:14" x14ac:dyDescent="0.25">
      <c r="A126" s="39">
        <f t="shared" si="8"/>
        <v>123</v>
      </c>
      <c r="B126" s="18">
        <v>37</v>
      </c>
      <c r="C126" s="33" t="s">
        <v>251</v>
      </c>
      <c r="D126" s="18" t="s">
        <v>254</v>
      </c>
      <c r="E126" s="142">
        <v>2881</v>
      </c>
      <c r="F126" s="18">
        <v>2881</v>
      </c>
      <c r="G126" s="142">
        <v>10</v>
      </c>
      <c r="H126" s="18">
        <v>10</v>
      </c>
      <c r="I126" s="18">
        <v>100</v>
      </c>
      <c r="J126" s="34">
        <v>0.05</v>
      </c>
      <c r="K126" s="31">
        <f t="shared" si="7"/>
        <v>2.8809999999999998</v>
      </c>
      <c r="L126" s="31">
        <f t="shared" si="5"/>
        <v>0.86429999999999996</v>
      </c>
      <c r="M126" s="31">
        <f t="shared" si="6"/>
        <v>1.4405000000000001</v>
      </c>
      <c r="N126" s="31">
        <f t="shared" si="9"/>
        <v>5.1858000000000004</v>
      </c>
    </row>
    <row r="127" spans="1:14" x14ac:dyDescent="0.25">
      <c r="A127" s="39">
        <f t="shared" si="8"/>
        <v>124</v>
      </c>
      <c r="B127" s="18">
        <v>37</v>
      </c>
      <c r="C127" s="33" t="s">
        <v>251</v>
      </c>
      <c r="D127" s="18" t="s">
        <v>255</v>
      </c>
      <c r="E127" s="142">
        <v>3185</v>
      </c>
      <c r="F127" s="18">
        <v>3185</v>
      </c>
      <c r="G127" s="142">
        <v>10</v>
      </c>
      <c r="H127" s="18">
        <v>10</v>
      </c>
      <c r="I127" s="18">
        <v>100</v>
      </c>
      <c r="J127" s="34">
        <v>0.05</v>
      </c>
      <c r="K127" s="31">
        <f t="shared" si="7"/>
        <v>3.1850000000000001</v>
      </c>
      <c r="L127" s="31">
        <f t="shared" si="5"/>
        <v>0.95550000000000002</v>
      </c>
      <c r="M127" s="31">
        <f t="shared" si="6"/>
        <v>1.5925</v>
      </c>
      <c r="N127" s="31">
        <f t="shared" si="9"/>
        <v>5.7330000000000005</v>
      </c>
    </row>
    <row r="128" spans="1:14" x14ac:dyDescent="0.25">
      <c r="A128" s="39">
        <f t="shared" si="8"/>
        <v>125</v>
      </c>
      <c r="B128" s="18">
        <v>38</v>
      </c>
      <c r="C128" s="33" t="s">
        <v>256</v>
      </c>
      <c r="D128" s="18" t="s">
        <v>257</v>
      </c>
      <c r="E128" s="142">
        <v>3189</v>
      </c>
      <c r="F128" s="18">
        <v>3180</v>
      </c>
      <c r="G128" s="142">
        <v>10</v>
      </c>
      <c r="H128" s="18">
        <v>10</v>
      </c>
      <c r="I128" s="18">
        <v>100</v>
      </c>
      <c r="J128" s="34">
        <v>0.08</v>
      </c>
      <c r="K128" s="31">
        <f t="shared" si="7"/>
        <v>3.18</v>
      </c>
      <c r="L128" s="31">
        <f t="shared" si="5"/>
        <v>0.95399999999999996</v>
      </c>
      <c r="M128" s="31">
        <f t="shared" si="6"/>
        <v>2.544</v>
      </c>
      <c r="N128" s="31">
        <f t="shared" si="9"/>
        <v>6.6780000000000008</v>
      </c>
    </row>
    <row r="129" spans="1:14" x14ac:dyDescent="0.25">
      <c r="A129" s="39">
        <f t="shared" si="8"/>
        <v>126</v>
      </c>
      <c r="B129" s="18">
        <v>38</v>
      </c>
      <c r="C129" s="33" t="s">
        <v>256</v>
      </c>
      <c r="D129" s="18" t="s">
        <v>258</v>
      </c>
      <c r="E129" s="142">
        <v>3364</v>
      </c>
      <c r="F129" s="18">
        <v>3364</v>
      </c>
      <c r="G129" s="142">
        <v>10</v>
      </c>
      <c r="H129" s="18">
        <v>10</v>
      </c>
      <c r="I129" s="18">
        <v>100</v>
      </c>
      <c r="J129" s="34">
        <v>0.08</v>
      </c>
      <c r="K129" s="31">
        <f t="shared" si="7"/>
        <v>3.3639999999999999</v>
      </c>
      <c r="L129" s="31">
        <f t="shared" si="5"/>
        <v>1.0091999999999999</v>
      </c>
      <c r="M129" s="31">
        <f t="shared" si="6"/>
        <v>2.6912000000000003</v>
      </c>
      <c r="N129" s="31">
        <f t="shared" si="9"/>
        <v>7.0644</v>
      </c>
    </row>
    <row r="130" spans="1:14" x14ac:dyDescent="0.25">
      <c r="A130" s="39">
        <f t="shared" si="8"/>
        <v>127</v>
      </c>
      <c r="B130" s="18">
        <v>38</v>
      </c>
      <c r="C130" s="33" t="s">
        <v>256</v>
      </c>
      <c r="D130" s="18" t="s">
        <v>259</v>
      </c>
      <c r="E130" s="142">
        <v>3644</v>
      </c>
      <c r="F130" s="18">
        <v>3644</v>
      </c>
      <c r="G130" s="142">
        <v>10</v>
      </c>
      <c r="H130" s="18">
        <v>10</v>
      </c>
      <c r="I130" s="18">
        <v>100</v>
      </c>
      <c r="J130" s="34">
        <v>0.08</v>
      </c>
      <c r="K130" s="31">
        <f t="shared" si="7"/>
        <v>3.6440000000000001</v>
      </c>
      <c r="L130" s="31">
        <f t="shared" si="5"/>
        <v>1.0931999999999999</v>
      </c>
      <c r="M130" s="31">
        <f t="shared" si="6"/>
        <v>2.9152</v>
      </c>
      <c r="N130" s="31">
        <f t="shared" si="9"/>
        <v>7.6524000000000001</v>
      </c>
    </row>
    <row r="131" spans="1:14" x14ac:dyDescent="0.25">
      <c r="A131" s="39">
        <f t="shared" si="8"/>
        <v>128</v>
      </c>
      <c r="B131" s="18">
        <v>38</v>
      </c>
      <c r="C131" s="33" t="s">
        <v>256</v>
      </c>
      <c r="D131" s="18" t="s">
        <v>260</v>
      </c>
      <c r="E131" s="142">
        <v>3885</v>
      </c>
      <c r="F131" s="18">
        <v>3885</v>
      </c>
      <c r="G131" s="142">
        <v>10</v>
      </c>
      <c r="H131" s="18">
        <v>10</v>
      </c>
      <c r="I131" s="18">
        <v>100</v>
      </c>
      <c r="J131" s="34">
        <v>0.08</v>
      </c>
      <c r="K131" s="31">
        <f t="shared" si="7"/>
        <v>3.8849999999999998</v>
      </c>
      <c r="L131" s="31">
        <f t="shared" si="5"/>
        <v>1.1655</v>
      </c>
      <c r="M131" s="31">
        <f t="shared" si="6"/>
        <v>3.1080000000000001</v>
      </c>
      <c r="N131" s="31">
        <f t="shared" si="9"/>
        <v>8.1585000000000001</v>
      </c>
    </row>
    <row r="132" spans="1:14" x14ac:dyDescent="0.25">
      <c r="A132" s="39">
        <f t="shared" si="8"/>
        <v>129</v>
      </c>
      <c r="B132" s="18">
        <v>38</v>
      </c>
      <c r="C132" s="33" t="s">
        <v>256</v>
      </c>
      <c r="D132" s="18" t="s">
        <v>261</v>
      </c>
      <c r="E132" s="142">
        <v>4582</v>
      </c>
      <c r="F132" s="18">
        <v>4582</v>
      </c>
      <c r="G132" s="142">
        <v>10</v>
      </c>
      <c r="H132" s="18">
        <v>10</v>
      </c>
      <c r="I132" s="18">
        <v>100</v>
      </c>
      <c r="J132" s="34">
        <v>0.08</v>
      </c>
      <c r="K132" s="31">
        <f t="shared" si="7"/>
        <v>4.5819999999999999</v>
      </c>
      <c r="L132" s="31">
        <f t="shared" ref="L132:L195" si="10">+(F132/I132)*($L$1/100)</f>
        <v>1.3746</v>
      </c>
      <c r="M132" s="31">
        <f t="shared" ref="M132:M195" si="11">+F132*J132/100</f>
        <v>3.6656</v>
      </c>
      <c r="N132" s="31">
        <f t="shared" si="9"/>
        <v>9.6221999999999994</v>
      </c>
    </row>
    <row r="133" spans="1:14" x14ac:dyDescent="0.25">
      <c r="A133" s="39">
        <f t="shared" si="8"/>
        <v>130</v>
      </c>
      <c r="B133" s="18">
        <v>39</v>
      </c>
      <c r="C133" s="33" t="s">
        <v>262</v>
      </c>
      <c r="D133" s="18" t="s">
        <v>257</v>
      </c>
      <c r="E133" s="142">
        <v>4557</v>
      </c>
      <c r="F133" s="18">
        <v>4557</v>
      </c>
      <c r="G133" s="142">
        <v>10</v>
      </c>
      <c r="H133" s="18">
        <v>10</v>
      </c>
      <c r="I133" s="18">
        <v>100</v>
      </c>
      <c r="J133" s="34">
        <v>0.08</v>
      </c>
      <c r="K133" s="31">
        <f t="shared" ref="K133:K196" si="12">+F133/(H133*I133)</f>
        <v>4.5570000000000004</v>
      </c>
      <c r="L133" s="31">
        <f t="shared" si="10"/>
        <v>1.3671</v>
      </c>
      <c r="M133" s="31">
        <f t="shared" si="11"/>
        <v>3.6456</v>
      </c>
      <c r="N133" s="31">
        <f t="shared" si="9"/>
        <v>9.569700000000001</v>
      </c>
    </row>
    <row r="134" spans="1:14" x14ac:dyDescent="0.25">
      <c r="A134" s="39">
        <f t="shared" ref="A134:A197" si="13">+A133+1</f>
        <v>131</v>
      </c>
      <c r="B134" s="18">
        <v>39</v>
      </c>
      <c r="C134" s="33" t="s">
        <v>262</v>
      </c>
      <c r="D134" s="18" t="s">
        <v>258</v>
      </c>
      <c r="E134" s="142">
        <v>4807</v>
      </c>
      <c r="F134" s="18">
        <v>4807</v>
      </c>
      <c r="G134" s="142">
        <v>10</v>
      </c>
      <c r="H134" s="18">
        <v>10</v>
      </c>
      <c r="I134" s="18">
        <v>100</v>
      </c>
      <c r="J134" s="34">
        <v>0.08</v>
      </c>
      <c r="K134" s="31">
        <f t="shared" si="12"/>
        <v>4.8070000000000004</v>
      </c>
      <c r="L134" s="31">
        <f t="shared" si="10"/>
        <v>1.4420999999999999</v>
      </c>
      <c r="M134" s="31">
        <f t="shared" si="11"/>
        <v>3.8456000000000001</v>
      </c>
      <c r="N134" s="31">
        <f t="shared" ref="N134:N197" si="14">+K134+L134+M134</f>
        <v>10.0947</v>
      </c>
    </row>
    <row r="135" spans="1:14" x14ac:dyDescent="0.25">
      <c r="A135" s="39">
        <f t="shared" si="13"/>
        <v>132</v>
      </c>
      <c r="B135" s="18">
        <v>39</v>
      </c>
      <c r="C135" s="33" t="s">
        <v>262</v>
      </c>
      <c r="D135" s="18" t="s">
        <v>259</v>
      </c>
      <c r="E135" s="142">
        <v>5203</v>
      </c>
      <c r="F135" s="18">
        <v>5203</v>
      </c>
      <c r="G135" s="142">
        <v>10</v>
      </c>
      <c r="H135" s="18">
        <v>10</v>
      </c>
      <c r="I135" s="18">
        <v>100</v>
      </c>
      <c r="J135" s="34">
        <v>0.08</v>
      </c>
      <c r="K135" s="31">
        <f t="shared" si="12"/>
        <v>5.2030000000000003</v>
      </c>
      <c r="L135" s="31">
        <f t="shared" si="10"/>
        <v>1.5609</v>
      </c>
      <c r="M135" s="31">
        <f t="shared" si="11"/>
        <v>4.1623999999999999</v>
      </c>
      <c r="N135" s="31">
        <f t="shared" si="14"/>
        <v>10.926300000000001</v>
      </c>
    </row>
    <row r="136" spans="1:14" x14ac:dyDescent="0.25">
      <c r="A136" s="39">
        <f t="shared" si="13"/>
        <v>133</v>
      </c>
      <c r="B136" s="18">
        <v>39</v>
      </c>
      <c r="C136" s="33" t="s">
        <v>262</v>
      </c>
      <c r="D136" s="18" t="s">
        <v>236</v>
      </c>
      <c r="E136" s="142">
        <v>5549</v>
      </c>
      <c r="F136" s="18">
        <v>5549</v>
      </c>
      <c r="G136" s="142">
        <v>10</v>
      </c>
      <c r="H136" s="18">
        <v>10</v>
      </c>
      <c r="I136" s="18">
        <v>100</v>
      </c>
      <c r="J136" s="34">
        <v>0.08</v>
      </c>
      <c r="K136" s="31">
        <f t="shared" si="12"/>
        <v>5.5490000000000004</v>
      </c>
      <c r="L136" s="31">
        <f t="shared" si="10"/>
        <v>1.6647000000000001</v>
      </c>
      <c r="M136" s="31">
        <f t="shared" si="11"/>
        <v>4.4392000000000005</v>
      </c>
      <c r="N136" s="31">
        <f t="shared" si="14"/>
        <v>11.652900000000001</v>
      </c>
    </row>
    <row r="137" spans="1:14" x14ac:dyDescent="0.25">
      <c r="A137" s="39">
        <f t="shared" si="13"/>
        <v>134</v>
      </c>
      <c r="B137" s="18">
        <v>40</v>
      </c>
      <c r="C137" s="33" t="s">
        <v>263</v>
      </c>
      <c r="D137" s="18" t="s">
        <v>264</v>
      </c>
      <c r="E137" s="142">
        <v>6966</v>
      </c>
      <c r="F137" s="18">
        <v>6966</v>
      </c>
      <c r="G137" s="142">
        <v>10</v>
      </c>
      <c r="H137" s="18">
        <v>10</v>
      </c>
      <c r="I137" s="18">
        <v>100</v>
      </c>
      <c r="J137" s="34">
        <v>0.05</v>
      </c>
      <c r="K137" s="31">
        <f t="shared" si="12"/>
        <v>6.9660000000000002</v>
      </c>
      <c r="L137" s="31">
        <f t="shared" si="10"/>
        <v>2.0897999999999999</v>
      </c>
      <c r="M137" s="31">
        <f t="shared" si="11"/>
        <v>3.4830000000000001</v>
      </c>
      <c r="N137" s="31">
        <f t="shared" si="14"/>
        <v>12.5388</v>
      </c>
    </row>
    <row r="138" spans="1:14" x14ac:dyDescent="0.25">
      <c r="A138" s="39">
        <f t="shared" si="13"/>
        <v>135</v>
      </c>
      <c r="B138" s="18">
        <v>40</v>
      </c>
      <c r="C138" s="33" t="s">
        <v>263</v>
      </c>
      <c r="D138" s="18" t="s">
        <v>265</v>
      </c>
      <c r="E138" s="142">
        <v>7412</v>
      </c>
      <c r="F138" s="18">
        <v>7412</v>
      </c>
      <c r="G138" s="142">
        <v>10</v>
      </c>
      <c r="H138" s="18">
        <v>10</v>
      </c>
      <c r="I138" s="18">
        <v>100</v>
      </c>
      <c r="J138" s="34">
        <v>0.05</v>
      </c>
      <c r="K138" s="31">
        <f t="shared" si="12"/>
        <v>7.4119999999999999</v>
      </c>
      <c r="L138" s="31">
        <f t="shared" si="10"/>
        <v>2.2236000000000002</v>
      </c>
      <c r="M138" s="31">
        <f t="shared" si="11"/>
        <v>3.7060000000000004</v>
      </c>
      <c r="N138" s="31">
        <f t="shared" si="14"/>
        <v>13.3416</v>
      </c>
    </row>
    <row r="139" spans="1:14" x14ac:dyDescent="0.25">
      <c r="A139" s="39">
        <f t="shared" si="13"/>
        <v>136</v>
      </c>
      <c r="B139" s="18">
        <v>40</v>
      </c>
      <c r="C139" s="33" t="s">
        <v>263</v>
      </c>
      <c r="D139" s="18" t="s">
        <v>266</v>
      </c>
      <c r="E139" s="142">
        <v>7858</v>
      </c>
      <c r="F139" s="18">
        <v>7858</v>
      </c>
      <c r="G139" s="142">
        <v>10</v>
      </c>
      <c r="H139" s="18">
        <v>10</v>
      </c>
      <c r="I139" s="18">
        <v>100</v>
      </c>
      <c r="J139" s="34">
        <v>0.05</v>
      </c>
      <c r="K139" s="31">
        <f t="shared" si="12"/>
        <v>7.8579999999999997</v>
      </c>
      <c r="L139" s="31">
        <f t="shared" si="10"/>
        <v>2.3573999999999997</v>
      </c>
      <c r="M139" s="31">
        <f t="shared" si="11"/>
        <v>3.9290000000000003</v>
      </c>
      <c r="N139" s="31">
        <f t="shared" si="14"/>
        <v>14.144399999999999</v>
      </c>
    </row>
    <row r="140" spans="1:14" x14ac:dyDescent="0.25">
      <c r="A140" s="39">
        <f t="shared" si="13"/>
        <v>137</v>
      </c>
      <c r="B140" s="18">
        <v>40</v>
      </c>
      <c r="C140" s="33" t="s">
        <v>263</v>
      </c>
      <c r="D140" s="18" t="s">
        <v>267</v>
      </c>
      <c r="E140" s="142">
        <v>8530</v>
      </c>
      <c r="F140" s="18">
        <v>8530</v>
      </c>
      <c r="G140" s="142">
        <v>10</v>
      </c>
      <c r="H140" s="18">
        <v>10</v>
      </c>
      <c r="I140" s="18">
        <v>100</v>
      </c>
      <c r="J140" s="34">
        <v>0.05</v>
      </c>
      <c r="K140" s="31">
        <f t="shared" si="12"/>
        <v>8.5299999999999994</v>
      </c>
      <c r="L140" s="31">
        <f t="shared" si="10"/>
        <v>2.5589999999999997</v>
      </c>
      <c r="M140" s="31">
        <f t="shared" si="11"/>
        <v>4.2649999999999997</v>
      </c>
      <c r="N140" s="31">
        <f t="shared" si="14"/>
        <v>15.353999999999999</v>
      </c>
    </row>
    <row r="141" spans="1:14" x14ac:dyDescent="0.25">
      <c r="A141" s="39">
        <f t="shared" si="13"/>
        <v>138</v>
      </c>
      <c r="B141" s="18">
        <v>41</v>
      </c>
      <c r="C141" s="33" t="s">
        <v>268</v>
      </c>
      <c r="D141" s="18" t="s">
        <v>269</v>
      </c>
      <c r="E141" s="142">
        <v>9288</v>
      </c>
      <c r="F141" s="18">
        <v>9288</v>
      </c>
      <c r="G141" s="142">
        <v>10</v>
      </c>
      <c r="H141" s="18">
        <v>10</v>
      </c>
      <c r="I141" s="18">
        <v>100</v>
      </c>
      <c r="J141" s="34">
        <v>0.05</v>
      </c>
      <c r="K141" s="31">
        <f t="shared" si="12"/>
        <v>9.2880000000000003</v>
      </c>
      <c r="L141" s="31">
        <f t="shared" si="10"/>
        <v>2.7863999999999995</v>
      </c>
      <c r="M141" s="31">
        <f t="shared" si="11"/>
        <v>4.6440000000000001</v>
      </c>
      <c r="N141" s="31">
        <f t="shared" si="14"/>
        <v>16.718400000000003</v>
      </c>
    </row>
    <row r="142" spans="1:14" x14ac:dyDescent="0.25">
      <c r="A142" s="39">
        <f t="shared" si="13"/>
        <v>139</v>
      </c>
      <c r="B142" s="18">
        <v>41</v>
      </c>
      <c r="C142" s="33" t="s">
        <v>268</v>
      </c>
      <c r="D142" s="18" t="s">
        <v>270</v>
      </c>
      <c r="E142" s="142">
        <v>9885</v>
      </c>
      <c r="F142" s="18">
        <v>9885</v>
      </c>
      <c r="G142" s="142">
        <v>10</v>
      </c>
      <c r="H142" s="18">
        <v>10</v>
      </c>
      <c r="I142" s="18">
        <v>100</v>
      </c>
      <c r="J142" s="34">
        <v>0.05</v>
      </c>
      <c r="K142" s="31">
        <f t="shared" si="12"/>
        <v>9.8849999999999998</v>
      </c>
      <c r="L142" s="31">
        <f t="shared" si="10"/>
        <v>2.9654999999999996</v>
      </c>
      <c r="M142" s="31">
        <f t="shared" si="11"/>
        <v>4.9424999999999999</v>
      </c>
      <c r="N142" s="31">
        <f t="shared" si="14"/>
        <v>17.792999999999999</v>
      </c>
    </row>
    <row r="143" spans="1:14" x14ac:dyDescent="0.25">
      <c r="A143" s="39">
        <f t="shared" si="13"/>
        <v>140</v>
      </c>
      <c r="B143" s="18">
        <v>41</v>
      </c>
      <c r="C143" s="33" t="s">
        <v>268</v>
      </c>
      <c r="D143" s="18" t="s">
        <v>271</v>
      </c>
      <c r="E143" s="142">
        <v>10481</v>
      </c>
      <c r="F143" s="18">
        <v>10481</v>
      </c>
      <c r="G143" s="142">
        <v>10</v>
      </c>
      <c r="H143" s="18">
        <v>10</v>
      </c>
      <c r="I143" s="18">
        <v>100</v>
      </c>
      <c r="J143" s="34">
        <v>0.05</v>
      </c>
      <c r="K143" s="31">
        <f t="shared" si="12"/>
        <v>10.481</v>
      </c>
      <c r="L143" s="31">
        <f t="shared" si="10"/>
        <v>3.1442999999999999</v>
      </c>
      <c r="M143" s="31">
        <f t="shared" si="11"/>
        <v>5.2405000000000008</v>
      </c>
      <c r="N143" s="31">
        <f t="shared" si="14"/>
        <v>18.8658</v>
      </c>
    </row>
    <row r="144" spans="1:14" x14ac:dyDescent="0.25">
      <c r="A144" s="39">
        <f t="shared" si="13"/>
        <v>141</v>
      </c>
      <c r="B144" s="18">
        <v>41</v>
      </c>
      <c r="C144" s="33" t="s">
        <v>268</v>
      </c>
      <c r="D144" s="18" t="s">
        <v>243</v>
      </c>
      <c r="E144" s="142">
        <v>11373</v>
      </c>
      <c r="F144" s="18">
        <v>11373</v>
      </c>
      <c r="G144" s="142">
        <v>10</v>
      </c>
      <c r="H144" s="18">
        <v>10</v>
      </c>
      <c r="I144" s="18">
        <v>100</v>
      </c>
      <c r="J144" s="34">
        <v>0.05</v>
      </c>
      <c r="K144" s="31">
        <f t="shared" si="12"/>
        <v>11.372999999999999</v>
      </c>
      <c r="L144" s="31">
        <f t="shared" si="10"/>
        <v>3.4119000000000002</v>
      </c>
      <c r="M144" s="31">
        <f t="shared" si="11"/>
        <v>5.6864999999999997</v>
      </c>
      <c r="N144" s="31">
        <f t="shared" si="14"/>
        <v>20.471399999999999</v>
      </c>
    </row>
    <row r="145" spans="1:14" x14ac:dyDescent="0.25">
      <c r="A145" s="39">
        <f t="shared" si="13"/>
        <v>142</v>
      </c>
      <c r="B145" s="18">
        <v>42</v>
      </c>
      <c r="C145" s="33" t="s">
        <v>272</v>
      </c>
      <c r="D145" s="18" t="s">
        <v>132</v>
      </c>
      <c r="E145" s="142">
        <v>5553</v>
      </c>
      <c r="F145" s="18">
        <v>5553</v>
      </c>
      <c r="G145" s="142">
        <v>10</v>
      </c>
      <c r="H145" s="18">
        <v>10</v>
      </c>
      <c r="I145" s="18">
        <v>100</v>
      </c>
      <c r="J145" s="34">
        <v>0.12</v>
      </c>
      <c r="K145" s="31">
        <f t="shared" si="12"/>
        <v>5.5529999999999999</v>
      </c>
      <c r="L145" s="31">
        <f t="shared" si="10"/>
        <v>1.6658999999999999</v>
      </c>
      <c r="M145" s="31">
        <f t="shared" si="11"/>
        <v>6.6635999999999997</v>
      </c>
      <c r="N145" s="31">
        <f t="shared" si="14"/>
        <v>13.8825</v>
      </c>
    </row>
    <row r="146" spans="1:14" x14ac:dyDescent="0.25">
      <c r="A146" s="39">
        <f t="shared" si="13"/>
        <v>143</v>
      </c>
      <c r="B146" s="18">
        <v>42</v>
      </c>
      <c r="C146" s="33" t="s">
        <v>272</v>
      </c>
      <c r="D146" s="18" t="s">
        <v>273</v>
      </c>
      <c r="E146" s="142">
        <v>6393</v>
      </c>
      <c r="F146" s="18">
        <v>6393</v>
      </c>
      <c r="G146" s="142">
        <v>10</v>
      </c>
      <c r="H146" s="18">
        <v>10</v>
      </c>
      <c r="I146" s="18">
        <v>100</v>
      </c>
      <c r="J146" s="34">
        <v>0.12</v>
      </c>
      <c r="K146" s="31">
        <f t="shared" si="12"/>
        <v>6.3929999999999998</v>
      </c>
      <c r="L146" s="31">
        <f t="shared" si="10"/>
        <v>1.9178999999999999</v>
      </c>
      <c r="M146" s="31">
        <f t="shared" si="11"/>
        <v>7.6715999999999998</v>
      </c>
      <c r="N146" s="31">
        <f t="shared" si="14"/>
        <v>15.9825</v>
      </c>
    </row>
    <row r="147" spans="1:14" x14ac:dyDescent="0.25">
      <c r="A147" s="39">
        <f t="shared" si="13"/>
        <v>144</v>
      </c>
      <c r="B147" s="18">
        <v>43</v>
      </c>
      <c r="C147" s="33" t="s">
        <v>274</v>
      </c>
      <c r="D147" s="18" t="s">
        <v>275</v>
      </c>
      <c r="E147" s="142">
        <v>10923</v>
      </c>
      <c r="F147" s="18">
        <v>10923</v>
      </c>
      <c r="G147" s="142">
        <v>10</v>
      </c>
      <c r="H147" s="18">
        <v>10</v>
      </c>
      <c r="I147" s="18">
        <v>100</v>
      </c>
      <c r="J147" s="34">
        <v>0.08</v>
      </c>
      <c r="K147" s="31">
        <f t="shared" si="12"/>
        <v>10.923</v>
      </c>
      <c r="L147" s="31">
        <f t="shared" si="10"/>
        <v>3.2768999999999999</v>
      </c>
      <c r="M147" s="31">
        <f t="shared" si="11"/>
        <v>8.7384000000000004</v>
      </c>
      <c r="N147" s="31">
        <f t="shared" si="14"/>
        <v>22.938299999999998</v>
      </c>
    </row>
    <row r="148" spans="1:14" x14ac:dyDescent="0.25">
      <c r="A148" s="39">
        <f t="shared" si="13"/>
        <v>145</v>
      </c>
      <c r="B148" s="18">
        <v>43</v>
      </c>
      <c r="C148" s="33" t="s">
        <v>274</v>
      </c>
      <c r="D148" s="18" t="s">
        <v>233</v>
      </c>
      <c r="E148" s="142">
        <v>12201</v>
      </c>
      <c r="F148" s="18">
        <v>12201</v>
      </c>
      <c r="G148" s="142">
        <v>10</v>
      </c>
      <c r="H148" s="18">
        <v>10</v>
      </c>
      <c r="I148" s="18">
        <v>100</v>
      </c>
      <c r="J148" s="34">
        <v>0.08</v>
      </c>
      <c r="K148" s="31">
        <f t="shared" si="12"/>
        <v>12.201000000000001</v>
      </c>
      <c r="L148" s="31">
        <f t="shared" si="10"/>
        <v>3.6602999999999999</v>
      </c>
      <c r="M148" s="31">
        <f t="shared" si="11"/>
        <v>9.7607999999999997</v>
      </c>
      <c r="N148" s="31">
        <f t="shared" si="14"/>
        <v>25.6221</v>
      </c>
    </row>
    <row r="149" spans="1:14" x14ac:dyDescent="0.25">
      <c r="A149" s="39">
        <f t="shared" si="13"/>
        <v>146</v>
      </c>
      <c r="B149" s="18">
        <v>44</v>
      </c>
      <c r="C149" s="33" t="s">
        <v>276</v>
      </c>
      <c r="D149" s="18" t="s">
        <v>277</v>
      </c>
      <c r="E149" s="142">
        <v>24037</v>
      </c>
      <c r="F149" s="18">
        <v>24037</v>
      </c>
      <c r="G149" s="142">
        <v>10</v>
      </c>
      <c r="H149" s="18">
        <v>10</v>
      </c>
      <c r="I149" s="18">
        <v>100</v>
      </c>
      <c r="J149" s="34">
        <v>0.04</v>
      </c>
      <c r="K149" s="31">
        <f t="shared" si="12"/>
        <v>24.036999999999999</v>
      </c>
      <c r="L149" s="31">
        <f t="shared" si="10"/>
        <v>7.2111000000000001</v>
      </c>
      <c r="M149" s="31">
        <f t="shared" si="11"/>
        <v>9.6148000000000007</v>
      </c>
      <c r="N149" s="31">
        <f t="shared" si="14"/>
        <v>40.862900000000003</v>
      </c>
    </row>
    <row r="150" spans="1:14" x14ac:dyDescent="0.25">
      <c r="A150" s="39">
        <f t="shared" si="13"/>
        <v>147</v>
      </c>
      <c r="B150" s="18">
        <v>45</v>
      </c>
      <c r="C150" s="33" t="s">
        <v>278</v>
      </c>
      <c r="D150" s="18" t="s">
        <v>142</v>
      </c>
      <c r="E150" s="142">
        <v>20432</v>
      </c>
      <c r="F150" s="18">
        <v>20432</v>
      </c>
      <c r="G150" s="142">
        <v>10</v>
      </c>
      <c r="H150" s="18">
        <v>10</v>
      </c>
      <c r="I150" s="18">
        <v>100</v>
      </c>
      <c r="J150" s="34">
        <v>0.04</v>
      </c>
      <c r="K150" s="31">
        <f t="shared" si="12"/>
        <v>20.431999999999999</v>
      </c>
      <c r="L150" s="31">
        <f t="shared" si="10"/>
        <v>6.1295999999999999</v>
      </c>
      <c r="M150" s="31">
        <f t="shared" si="11"/>
        <v>8.1728000000000005</v>
      </c>
      <c r="N150" s="31">
        <f t="shared" si="14"/>
        <v>34.734400000000001</v>
      </c>
    </row>
    <row r="151" spans="1:14" x14ac:dyDescent="0.25">
      <c r="A151" s="39">
        <f t="shared" si="13"/>
        <v>148</v>
      </c>
      <c r="B151" s="18">
        <v>46</v>
      </c>
      <c r="C151" s="33" t="s">
        <v>279</v>
      </c>
      <c r="D151" s="18" t="s">
        <v>280</v>
      </c>
      <c r="E151" s="142">
        <v>20384</v>
      </c>
      <c r="F151" s="18">
        <v>20380</v>
      </c>
      <c r="G151" s="142">
        <v>10</v>
      </c>
      <c r="H151" s="18">
        <v>10</v>
      </c>
      <c r="I151" s="18">
        <v>100</v>
      </c>
      <c r="J151" s="34">
        <v>0.04</v>
      </c>
      <c r="K151" s="31">
        <f t="shared" si="12"/>
        <v>20.38</v>
      </c>
      <c r="L151" s="31">
        <f t="shared" si="10"/>
        <v>6.1139999999999999</v>
      </c>
      <c r="M151" s="31">
        <f t="shared" si="11"/>
        <v>8.152000000000001</v>
      </c>
      <c r="N151" s="31">
        <f t="shared" si="14"/>
        <v>34.646000000000001</v>
      </c>
    </row>
    <row r="152" spans="1:14" x14ac:dyDescent="0.25">
      <c r="A152" s="39">
        <f t="shared" si="13"/>
        <v>149</v>
      </c>
      <c r="B152" s="18">
        <v>46</v>
      </c>
      <c r="C152" s="33" t="s">
        <v>279</v>
      </c>
      <c r="D152" s="18" t="s">
        <v>248</v>
      </c>
      <c r="E152" s="142">
        <v>24037</v>
      </c>
      <c r="F152" s="18">
        <v>24037</v>
      </c>
      <c r="G152" s="142">
        <v>10</v>
      </c>
      <c r="H152" s="18">
        <v>10</v>
      </c>
      <c r="I152" s="18">
        <v>100</v>
      </c>
      <c r="J152" s="34">
        <v>0.04</v>
      </c>
      <c r="K152" s="31">
        <f t="shared" si="12"/>
        <v>24.036999999999999</v>
      </c>
      <c r="L152" s="31">
        <f t="shared" si="10"/>
        <v>7.2111000000000001</v>
      </c>
      <c r="M152" s="31">
        <f t="shared" si="11"/>
        <v>9.6148000000000007</v>
      </c>
      <c r="N152" s="31">
        <f t="shared" si="14"/>
        <v>40.862900000000003</v>
      </c>
    </row>
    <row r="153" spans="1:14" x14ac:dyDescent="0.25">
      <c r="A153" s="39">
        <f t="shared" si="13"/>
        <v>150</v>
      </c>
      <c r="B153" s="18">
        <v>47</v>
      </c>
      <c r="C153" s="33" t="s">
        <v>281</v>
      </c>
      <c r="D153" s="18" t="s">
        <v>280</v>
      </c>
      <c r="E153" s="142">
        <v>8561</v>
      </c>
      <c r="F153" s="18">
        <v>8561</v>
      </c>
      <c r="G153" s="142">
        <v>10</v>
      </c>
      <c r="H153" s="18">
        <v>10</v>
      </c>
      <c r="I153" s="18">
        <v>100</v>
      </c>
      <c r="J153" s="34">
        <v>0.12</v>
      </c>
      <c r="K153" s="31">
        <f t="shared" si="12"/>
        <v>8.5609999999999999</v>
      </c>
      <c r="L153" s="31">
        <f t="shared" si="10"/>
        <v>2.5682999999999998</v>
      </c>
      <c r="M153" s="31">
        <f t="shared" si="11"/>
        <v>10.273199999999999</v>
      </c>
      <c r="N153" s="31">
        <f t="shared" si="14"/>
        <v>21.4025</v>
      </c>
    </row>
    <row r="154" spans="1:14" x14ac:dyDescent="0.25">
      <c r="A154" s="39">
        <f t="shared" si="13"/>
        <v>151</v>
      </c>
      <c r="B154" s="18">
        <v>48</v>
      </c>
      <c r="C154" s="33" t="s">
        <v>282</v>
      </c>
      <c r="D154" s="18" t="s">
        <v>275</v>
      </c>
      <c r="E154" s="142">
        <v>4384</v>
      </c>
      <c r="F154" s="18">
        <v>4384</v>
      </c>
      <c r="G154" s="142">
        <v>10</v>
      </c>
      <c r="H154" s="18">
        <v>10</v>
      </c>
      <c r="I154" s="18">
        <v>100</v>
      </c>
      <c r="J154" s="34">
        <v>0.04</v>
      </c>
      <c r="K154" s="31">
        <f t="shared" si="12"/>
        <v>4.3840000000000003</v>
      </c>
      <c r="L154" s="31">
        <f t="shared" si="10"/>
        <v>1.3152000000000001</v>
      </c>
      <c r="M154" s="31">
        <f t="shared" si="11"/>
        <v>1.7536</v>
      </c>
      <c r="N154" s="31">
        <f t="shared" si="14"/>
        <v>7.4527999999999999</v>
      </c>
    </row>
    <row r="155" spans="1:14" x14ac:dyDescent="0.25">
      <c r="A155" s="39">
        <f t="shared" si="13"/>
        <v>152</v>
      </c>
      <c r="B155" s="18">
        <v>48</v>
      </c>
      <c r="C155" s="33" t="s">
        <v>282</v>
      </c>
      <c r="D155" s="18" t="s">
        <v>283</v>
      </c>
      <c r="E155" s="142">
        <v>5297</v>
      </c>
      <c r="F155" s="18">
        <v>5297</v>
      </c>
      <c r="G155" s="142">
        <v>10</v>
      </c>
      <c r="H155" s="18">
        <v>10</v>
      </c>
      <c r="I155" s="18">
        <v>100</v>
      </c>
      <c r="J155" s="34">
        <v>0.04</v>
      </c>
      <c r="K155" s="31">
        <f t="shared" si="12"/>
        <v>5.2969999999999997</v>
      </c>
      <c r="L155" s="31">
        <f t="shared" si="10"/>
        <v>1.5891</v>
      </c>
      <c r="M155" s="31">
        <f t="shared" si="11"/>
        <v>2.1187999999999998</v>
      </c>
      <c r="N155" s="31">
        <f t="shared" si="14"/>
        <v>9.0048999999999992</v>
      </c>
    </row>
    <row r="156" spans="1:14" x14ac:dyDescent="0.25">
      <c r="A156" s="39">
        <f t="shared" si="13"/>
        <v>153</v>
      </c>
      <c r="B156" s="18">
        <v>48</v>
      </c>
      <c r="C156" s="33" t="s">
        <v>282</v>
      </c>
      <c r="D156" s="18" t="s">
        <v>234</v>
      </c>
      <c r="E156" s="142">
        <v>6210</v>
      </c>
      <c r="F156" s="18">
        <v>6210</v>
      </c>
      <c r="G156" s="142">
        <v>10</v>
      </c>
      <c r="H156" s="18">
        <v>10</v>
      </c>
      <c r="I156" s="18">
        <v>100</v>
      </c>
      <c r="J156" s="34">
        <v>0.04</v>
      </c>
      <c r="K156" s="31">
        <f t="shared" si="12"/>
        <v>6.21</v>
      </c>
      <c r="L156" s="31">
        <f t="shared" si="10"/>
        <v>1.863</v>
      </c>
      <c r="M156" s="31">
        <f t="shared" si="11"/>
        <v>2.484</v>
      </c>
      <c r="N156" s="31">
        <f t="shared" si="14"/>
        <v>10.557</v>
      </c>
    </row>
    <row r="157" spans="1:14" x14ac:dyDescent="0.25">
      <c r="A157" s="39">
        <f t="shared" si="13"/>
        <v>154</v>
      </c>
      <c r="B157" s="18">
        <v>49</v>
      </c>
      <c r="C157" s="33" t="s">
        <v>284</v>
      </c>
      <c r="D157" s="18" t="s">
        <v>142</v>
      </c>
      <c r="E157" s="142">
        <v>1517</v>
      </c>
      <c r="F157" s="18">
        <v>1517</v>
      </c>
      <c r="G157" s="142">
        <v>10</v>
      </c>
      <c r="H157" s="18">
        <v>10</v>
      </c>
      <c r="I157" s="18">
        <v>100</v>
      </c>
      <c r="J157" s="34">
        <v>0.16</v>
      </c>
      <c r="K157" s="31">
        <f t="shared" si="12"/>
        <v>1.5169999999999999</v>
      </c>
      <c r="L157" s="31">
        <f t="shared" si="10"/>
        <v>0.4551</v>
      </c>
      <c r="M157" s="31">
        <f t="shared" si="11"/>
        <v>2.4272</v>
      </c>
      <c r="N157" s="31">
        <f t="shared" si="14"/>
        <v>4.3993000000000002</v>
      </c>
    </row>
    <row r="158" spans="1:14" x14ac:dyDescent="0.25">
      <c r="A158" s="39">
        <f t="shared" si="13"/>
        <v>155</v>
      </c>
      <c r="B158" s="18">
        <v>49</v>
      </c>
      <c r="C158" s="33" t="s">
        <v>284</v>
      </c>
      <c r="D158" s="18" t="s">
        <v>233</v>
      </c>
      <c r="E158" s="142">
        <v>1591</v>
      </c>
      <c r="F158" s="18">
        <v>1591</v>
      </c>
      <c r="G158" s="142">
        <v>10</v>
      </c>
      <c r="H158" s="18">
        <v>10</v>
      </c>
      <c r="I158" s="18">
        <v>100</v>
      </c>
      <c r="J158" s="34">
        <v>0.16</v>
      </c>
      <c r="K158" s="31">
        <f t="shared" si="12"/>
        <v>1.591</v>
      </c>
      <c r="L158" s="31">
        <f t="shared" si="10"/>
        <v>0.4773</v>
      </c>
      <c r="M158" s="31">
        <f t="shared" si="11"/>
        <v>2.5455999999999999</v>
      </c>
      <c r="N158" s="31">
        <f t="shared" si="14"/>
        <v>4.6138999999999992</v>
      </c>
    </row>
    <row r="159" spans="1:14" x14ac:dyDescent="0.25">
      <c r="A159" s="39">
        <f t="shared" si="13"/>
        <v>156</v>
      </c>
      <c r="B159" s="18">
        <v>50</v>
      </c>
      <c r="C159" s="33" t="s">
        <v>285</v>
      </c>
      <c r="D159" s="18" t="s">
        <v>142</v>
      </c>
      <c r="E159" s="142">
        <v>2265</v>
      </c>
      <c r="F159" s="18">
        <v>2265</v>
      </c>
      <c r="G159" s="142">
        <v>10</v>
      </c>
      <c r="H159" s="18">
        <v>10</v>
      </c>
      <c r="I159" s="18">
        <v>100</v>
      </c>
      <c r="J159" s="34">
        <v>0.11</v>
      </c>
      <c r="K159" s="31">
        <f t="shared" si="12"/>
        <v>2.2650000000000001</v>
      </c>
      <c r="L159" s="31">
        <f t="shared" si="10"/>
        <v>0.67949999999999988</v>
      </c>
      <c r="M159" s="31">
        <f t="shared" si="11"/>
        <v>2.4915000000000003</v>
      </c>
      <c r="N159" s="31">
        <f t="shared" si="14"/>
        <v>5.4359999999999999</v>
      </c>
    </row>
    <row r="160" spans="1:14" x14ac:dyDescent="0.25">
      <c r="A160" s="39">
        <f t="shared" si="13"/>
        <v>157</v>
      </c>
      <c r="B160" s="18">
        <v>50</v>
      </c>
      <c r="C160" s="33" t="s">
        <v>285</v>
      </c>
      <c r="D160" s="18" t="s">
        <v>233</v>
      </c>
      <c r="E160" s="142">
        <v>2375</v>
      </c>
      <c r="F160" s="18">
        <v>2375</v>
      </c>
      <c r="G160" s="142">
        <v>10</v>
      </c>
      <c r="H160" s="18">
        <v>10</v>
      </c>
      <c r="I160" s="18">
        <v>100</v>
      </c>
      <c r="J160" s="34">
        <v>0.11</v>
      </c>
      <c r="K160" s="31">
        <f t="shared" si="12"/>
        <v>2.375</v>
      </c>
      <c r="L160" s="31">
        <f t="shared" si="10"/>
        <v>0.71250000000000002</v>
      </c>
      <c r="M160" s="31">
        <f t="shared" si="11"/>
        <v>2.6124999999999998</v>
      </c>
      <c r="N160" s="31">
        <f t="shared" si="14"/>
        <v>5.6999999999999993</v>
      </c>
    </row>
    <row r="161" spans="1:14" x14ac:dyDescent="0.25">
      <c r="A161" s="39">
        <f t="shared" si="13"/>
        <v>158</v>
      </c>
      <c r="B161" s="18">
        <v>51</v>
      </c>
      <c r="C161" s="33" t="s">
        <v>286</v>
      </c>
      <c r="D161" s="18" t="s">
        <v>283</v>
      </c>
      <c r="E161" s="142">
        <v>11215</v>
      </c>
      <c r="F161" s="18">
        <v>11215</v>
      </c>
      <c r="G161" s="142">
        <v>10</v>
      </c>
      <c r="H161" s="18">
        <v>10</v>
      </c>
      <c r="I161" s="18">
        <v>100</v>
      </c>
      <c r="J161" s="34">
        <v>0.04</v>
      </c>
      <c r="K161" s="31">
        <f t="shared" si="12"/>
        <v>11.215</v>
      </c>
      <c r="L161" s="31">
        <f t="shared" si="10"/>
        <v>3.3645</v>
      </c>
      <c r="M161" s="31">
        <f t="shared" si="11"/>
        <v>4.4860000000000007</v>
      </c>
      <c r="N161" s="31">
        <f t="shared" si="14"/>
        <v>19.0655</v>
      </c>
    </row>
    <row r="162" spans="1:14" x14ac:dyDescent="0.25">
      <c r="A162" s="39">
        <f t="shared" si="13"/>
        <v>159</v>
      </c>
      <c r="B162" s="18">
        <v>52</v>
      </c>
      <c r="C162" s="33" t="s">
        <v>287</v>
      </c>
      <c r="D162" s="18" t="s">
        <v>277</v>
      </c>
      <c r="E162" s="142">
        <v>15927</v>
      </c>
      <c r="F162" s="18">
        <v>15927</v>
      </c>
      <c r="G162" s="142">
        <v>10</v>
      </c>
      <c r="H162" s="18">
        <v>10</v>
      </c>
      <c r="I162" s="18">
        <v>100</v>
      </c>
      <c r="J162" s="34">
        <v>0.04</v>
      </c>
      <c r="K162" s="31">
        <f t="shared" si="12"/>
        <v>15.927</v>
      </c>
      <c r="L162" s="31">
        <f t="shared" si="10"/>
        <v>4.7781000000000002</v>
      </c>
      <c r="M162" s="31">
        <f t="shared" si="11"/>
        <v>6.3708</v>
      </c>
      <c r="N162" s="31">
        <f t="shared" si="14"/>
        <v>27.075900000000001</v>
      </c>
    </row>
    <row r="163" spans="1:14" x14ac:dyDescent="0.25">
      <c r="A163" s="39">
        <f t="shared" si="13"/>
        <v>160</v>
      </c>
      <c r="B163" s="18">
        <v>53</v>
      </c>
      <c r="C163" s="33" t="s">
        <v>288</v>
      </c>
      <c r="D163" s="18" t="s">
        <v>147</v>
      </c>
      <c r="E163" s="142">
        <v>840</v>
      </c>
      <c r="F163" s="18">
        <v>840</v>
      </c>
      <c r="G163" s="142">
        <v>10</v>
      </c>
      <c r="H163" s="18">
        <v>10</v>
      </c>
      <c r="I163" s="18">
        <v>100</v>
      </c>
      <c r="J163" s="34">
        <v>0.16</v>
      </c>
      <c r="K163" s="31">
        <f t="shared" si="12"/>
        <v>0.84</v>
      </c>
      <c r="L163" s="31">
        <f t="shared" si="10"/>
        <v>0.252</v>
      </c>
      <c r="M163" s="31">
        <f t="shared" si="11"/>
        <v>1.3440000000000001</v>
      </c>
      <c r="N163" s="31">
        <f t="shared" si="14"/>
        <v>2.4359999999999999</v>
      </c>
    </row>
    <row r="164" spans="1:14" x14ac:dyDescent="0.25">
      <c r="A164" s="39">
        <f t="shared" si="13"/>
        <v>161</v>
      </c>
      <c r="B164" s="18">
        <v>54</v>
      </c>
      <c r="C164" s="33" t="s">
        <v>289</v>
      </c>
      <c r="D164" s="18" t="s">
        <v>290</v>
      </c>
      <c r="E164" s="142">
        <v>15197</v>
      </c>
      <c r="F164" s="18">
        <v>15197</v>
      </c>
      <c r="G164" s="142">
        <v>10</v>
      </c>
      <c r="H164" s="18">
        <v>10</v>
      </c>
      <c r="I164" s="18">
        <v>100</v>
      </c>
      <c r="J164" s="34">
        <v>0.04</v>
      </c>
      <c r="K164" s="31">
        <f t="shared" si="12"/>
        <v>15.196999999999999</v>
      </c>
      <c r="L164" s="31">
        <f t="shared" si="10"/>
        <v>4.5590999999999999</v>
      </c>
      <c r="M164" s="31">
        <f t="shared" si="11"/>
        <v>6.0788000000000002</v>
      </c>
      <c r="N164" s="31">
        <f t="shared" si="14"/>
        <v>25.834900000000001</v>
      </c>
    </row>
    <row r="165" spans="1:14" x14ac:dyDescent="0.25">
      <c r="A165" s="39">
        <f t="shared" si="13"/>
        <v>162</v>
      </c>
      <c r="B165" s="18">
        <v>55</v>
      </c>
      <c r="C165" s="33" t="s">
        <v>291</v>
      </c>
      <c r="D165" s="18" t="s">
        <v>292</v>
      </c>
      <c r="E165" s="142">
        <v>19507</v>
      </c>
      <c r="F165" s="18">
        <v>19507</v>
      </c>
      <c r="G165" s="142">
        <v>10</v>
      </c>
      <c r="H165" s="18">
        <v>10</v>
      </c>
      <c r="I165" s="18">
        <v>100</v>
      </c>
      <c r="J165" s="34">
        <v>0.04</v>
      </c>
      <c r="K165" s="31">
        <f t="shared" si="12"/>
        <v>19.507000000000001</v>
      </c>
      <c r="L165" s="31">
        <f t="shared" si="10"/>
        <v>5.8520999999999992</v>
      </c>
      <c r="M165" s="31">
        <f t="shared" si="11"/>
        <v>7.8027999999999995</v>
      </c>
      <c r="N165" s="31">
        <f t="shared" si="14"/>
        <v>33.161900000000003</v>
      </c>
    </row>
    <row r="166" spans="1:14" x14ac:dyDescent="0.25">
      <c r="A166" s="39">
        <f t="shared" si="13"/>
        <v>163</v>
      </c>
      <c r="B166" s="18">
        <v>55</v>
      </c>
      <c r="C166" s="33" t="s">
        <v>291</v>
      </c>
      <c r="D166" s="18" t="s">
        <v>293</v>
      </c>
      <c r="E166" s="142">
        <v>21590</v>
      </c>
      <c r="F166" s="18">
        <v>21590</v>
      </c>
      <c r="G166" s="142">
        <v>10</v>
      </c>
      <c r="H166" s="18">
        <v>10</v>
      </c>
      <c r="I166" s="18">
        <v>100</v>
      </c>
      <c r="J166" s="34">
        <v>0.04</v>
      </c>
      <c r="K166" s="31">
        <f t="shared" si="12"/>
        <v>21.59</v>
      </c>
      <c r="L166" s="31">
        <f t="shared" si="10"/>
        <v>6.4770000000000003</v>
      </c>
      <c r="M166" s="31">
        <f t="shared" si="11"/>
        <v>8.636000000000001</v>
      </c>
      <c r="N166" s="31">
        <f t="shared" si="14"/>
        <v>36.703000000000003</v>
      </c>
    </row>
    <row r="167" spans="1:14" x14ac:dyDescent="0.25">
      <c r="A167" s="39">
        <f t="shared" si="13"/>
        <v>164</v>
      </c>
      <c r="B167" s="18">
        <v>56</v>
      </c>
      <c r="C167" s="33" t="s">
        <v>294</v>
      </c>
      <c r="D167" s="18" t="s">
        <v>295</v>
      </c>
      <c r="E167" s="142">
        <v>3478</v>
      </c>
      <c r="F167" s="18">
        <v>3470</v>
      </c>
      <c r="G167" s="142">
        <v>10</v>
      </c>
      <c r="H167" s="18">
        <v>10</v>
      </c>
      <c r="I167" s="18">
        <v>100</v>
      </c>
      <c r="J167" s="34">
        <v>0.03</v>
      </c>
      <c r="K167" s="31">
        <f t="shared" si="12"/>
        <v>3.47</v>
      </c>
      <c r="L167" s="31">
        <f t="shared" si="10"/>
        <v>1.0410000000000001</v>
      </c>
      <c r="M167" s="31">
        <f t="shared" si="11"/>
        <v>1.0409999999999999</v>
      </c>
      <c r="N167" s="31">
        <f t="shared" si="14"/>
        <v>5.5519999999999996</v>
      </c>
    </row>
    <row r="168" spans="1:14" x14ac:dyDescent="0.25">
      <c r="A168" s="39">
        <f t="shared" si="13"/>
        <v>165</v>
      </c>
      <c r="B168" s="18">
        <v>56</v>
      </c>
      <c r="C168" s="33" t="s">
        <v>294</v>
      </c>
      <c r="D168" s="18" t="s">
        <v>296</v>
      </c>
      <c r="E168" s="142">
        <v>4418</v>
      </c>
      <c r="F168" s="18">
        <v>4418</v>
      </c>
      <c r="G168" s="142">
        <v>10</v>
      </c>
      <c r="H168" s="18">
        <v>10</v>
      </c>
      <c r="I168" s="18">
        <v>100</v>
      </c>
      <c r="J168" s="34">
        <v>0.03</v>
      </c>
      <c r="K168" s="31">
        <f t="shared" si="12"/>
        <v>4.4180000000000001</v>
      </c>
      <c r="L168" s="31">
        <f t="shared" si="10"/>
        <v>1.3253999999999999</v>
      </c>
      <c r="M168" s="31">
        <f t="shared" si="11"/>
        <v>1.3253999999999999</v>
      </c>
      <c r="N168" s="31">
        <f t="shared" si="14"/>
        <v>7.0688000000000004</v>
      </c>
    </row>
    <row r="169" spans="1:14" x14ac:dyDescent="0.25">
      <c r="A169" s="39">
        <f t="shared" si="13"/>
        <v>166</v>
      </c>
      <c r="B169" s="18">
        <v>56</v>
      </c>
      <c r="C169" s="33" t="s">
        <v>294</v>
      </c>
      <c r="D169" s="18" t="s">
        <v>297</v>
      </c>
      <c r="E169" s="142">
        <v>5172</v>
      </c>
      <c r="F169" s="18">
        <v>5172</v>
      </c>
      <c r="G169" s="142">
        <v>10</v>
      </c>
      <c r="H169" s="18">
        <v>10</v>
      </c>
      <c r="I169" s="18">
        <v>100</v>
      </c>
      <c r="J169" s="34">
        <v>0.03</v>
      </c>
      <c r="K169" s="31">
        <f t="shared" si="12"/>
        <v>5.1719999999999997</v>
      </c>
      <c r="L169" s="31">
        <f t="shared" si="10"/>
        <v>1.5515999999999999</v>
      </c>
      <c r="M169" s="31">
        <f t="shared" si="11"/>
        <v>1.5515999999999999</v>
      </c>
      <c r="N169" s="31">
        <f t="shared" si="14"/>
        <v>8.2751999999999999</v>
      </c>
    </row>
    <row r="170" spans="1:14" x14ac:dyDescent="0.25">
      <c r="A170" s="39">
        <f t="shared" si="13"/>
        <v>167</v>
      </c>
      <c r="B170" s="18">
        <v>56</v>
      </c>
      <c r="C170" s="33" t="s">
        <v>294</v>
      </c>
      <c r="D170" s="18" t="s">
        <v>135</v>
      </c>
      <c r="E170" s="142">
        <v>5831</v>
      </c>
      <c r="F170" s="18">
        <v>5831</v>
      </c>
      <c r="G170" s="142">
        <v>10</v>
      </c>
      <c r="H170" s="18">
        <v>10</v>
      </c>
      <c r="I170" s="18">
        <v>100</v>
      </c>
      <c r="J170" s="34">
        <v>0.03</v>
      </c>
      <c r="K170" s="31">
        <f t="shared" si="12"/>
        <v>5.8310000000000004</v>
      </c>
      <c r="L170" s="31">
        <f t="shared" si="10"/>
        <v>1.7493000000000001</v>
      </c>
      <c r="M170" s="31">
        <f t="shared" si="11"/>
        <v>1.7493000000000001</v>
      </c>
      <c r="N170" s="31">
        <f t="shared" si="14"/>
        <v>9.329600000000001</v>
      </c>
    </row>
    <row r="171" spans="1:14" x14ac:dyDescent="0.25">
      <c r="A171" s="39">
        <f t="shared" si="13"/>
        <v>168</v>
      </c>
      <c r="B171" s="18">
        <v>56</v>
      </c>
      <c r="C171" s="33" t="s">
        <v>294</v>
      </c>
      <c r="D171" s="18" t="s">
        <v>298</v>
      </c>
      <c r="E171" s="142">
        <v>6771</v>
      </c>
      <c r="F171" s="18">
        <v>6771</v>
      </c>
      <c r="G171" s="142">
        <v>10</v>
      </c>
      <c r="H171" s="18">
        <v>10</v>
      </c>
      <c r="I171" s="18">
        <v>100</v>
      </c>
      <c r="J171" s="34">
        <v>0.03</v>
      </c>
      <c r="K171" s="31">
        <f t="shared" si="12"/>
        <v>6.7709999999999999</v>
      </c>
      <c r="L171" s="31">
        <f t="shared" si="10"/>
        <v>2.0312999999999999</v>
      </c>
      <c r="M171" s="31">
        <f t="shared" si="11"/>
        <v>2.0312999999999999</v>
      </c>
      <c r="N171" s="31">
        <f t="shared" si="14"/>
        <v>10.833599999999999</v>
      </c>
    </row>
    <row r="172" spans="1:14" x14ac:dyDescent="0.25">
      <c r="A172" s="39">
        <f t="shared" si="13"/>
        <v>169</v>
      </c>
      <c r="B172" s="18">
        <v>56</v>
      </c>
      <c r="C172" s="33" t="s">
        <v>294</v>
      </c>
      <c r="D172" s="18" t="s">
        <v>299</v>
      </c>
      <c r="E172" s="142">
        <v>7710</v>
      </c>
      <c r="F172" s="18">
        <v>7710</v>
      </c>
      <c r="G172" s="142">
        <v>10</v>
      </c>
      <c r="H172" s="18">
        <v>10</v>
      </c>
      <c r="I172" s="18">
        <v>100</v>
      </c>
      <c r="J172" s="34">
        <v>0.03</v>
      </c>
      <c r="K172" s="31">
        <f t="shared" si="12"/>
        <v>7.71</v>
      </c>
      <c r="L172" s="31">
        <f t="shared" si="10"/>
        <v>2.3129999999999997</v>
      </c>
      <c r="M172" s="31">
        <f t="shared" si="11"/>
        <v>2.3129999999999997</v>
      </c>
      <c r="N172" s="31">
        <f t="shared" si="14"/>
        <v>12.335999999999999</v>
      </c>
    </row>
    <row r="173" spans="1:14" x14ac:dyDescent="0.25">
      <c r="A173" s="39">
        <f t="shared" si="13"/>
        <v>170</v>
      </c>
      <c r="B173" s="18">
        <v>56</v>
      </c>
      <c r="C173" s="33" t="s">
        <v>294</v>
      </c>
      <c r="D173" s="18" t="s">
        <v>300</v>
      </c>
      <c r="E173" s="142">
        <v>8650</v>
      </c>
      <c r="F173" s="18">
        <v>8650</v>
      </c>
      <c r="G173" s="142">
        <v>10</v>
      </c>
      <c r="H173" s="18">
        <v>10</v>
      </c>
      <c r="I173" s="18">
        <v>100</v>
      </c>
      <c r="J173" s="34">
        <v>0.03</v>
      </c>
      <c r="K173" s="31">
        <f t="shared" si="12"/>
        <v>8.65</v>
      </c>
      <c r="L173" s="31">
        <f t="shared" si="10"/>
        <v>2.5949999999999998</v>
      </c>
      <c r="M173" s="31">
        <f t="shared" si="11"/>
        <v>2.5950000000000002</v>
      </c>
      <c r="N173" s="31">
        <f t="shared" si="14"/>
        <v>13.840000000000002</v>
      </c>
    </row>
    <row r="174" spans="1:14" x14ac:dyDescent="0.25">
      <c r="A174" s="39">
        <f t="shared" si="13"/>
        <v>171</v>
      </c>
      <c r="B174" s="18">
        <v>56</v>
      </c>
      <c r="C174" s="33" t="s">
        <v>294</v>
      </c>
      <c r="D174" s="18" t="s">
        <v>301</v>
      </c>
      <c r="E174" s="142">
        <v>10063</v>
      </c>
      <c r="F174" s="18">
        <v>10063</v>
      </c>
      <c r="G174" s="142">
        <v>10</v>
      </c>
      <c r="H174" s="18">
        <v>10</v>
      </c>
      <c r="I174" s="18">
        <v>100</v>
      </c>
      <c r="J174" s="34">
        <v>0.03</v>
      </c>
      <c r="K174" s="31">
        <f t="shared" si="12"/>
        <v>10.063000000000001</v>
      </c>
      <c r="L174" s="31">
        <f t="shared" si="10"/>
        <v>3.0188999999999999</v>
      </c>
      <c r="M174" s="31">
        <f t="shared" si="11"/>
        <v>3.0188999999999999</v>
      </c>
      <c r="N174" s="31">
        <f t="shared" si="14"/>
        <v>16.1008</v>
      </c>
    </row>
    <row r="175" spans="1:14" x14ac:dyDescent="0.25">
      <c r="A175" s="39">
        <f t="shared" si="13"/>
        <v>172</v>
      </c>
      <c r="B175" s="18">
        <v>56</v>
      </c>
      <c r="C175" s="33" t="s">
        <v>294</v>
      </c>
      <c r="D175" s="18" t="s">
        <v>302</v>
      </c>
      <c r="E175" s="142">
        <v>11476</v>
      </c>
      <c r="F175" s="18">
        <v>11476</v>
      </c>
      <c r="G175" s="142">
        <v>10</v>
      </c>
      <c r="H175" s="18">
        <v>10</v>
      </c>
      <c r="I175" s="18">
        <v>100</v>
      </c>
      <c r="J175" s="34">
        <v>0.03</v>
      </c>
      <c r="K175" s="31">
        <f t="shared" si="12"/>
        <v>11.476000000000001</v>
      </c>
      <c r="L175" s="31">
        <f t="shared" si="10"/>
        <v>3.4428000000000001</v>
      </c>
      <c r="M175" s="31">
        <f t="shared" si="11"/>
        <v>3.4427999999999996</v>
      </c>
      <c r="N175" s="31">
        <f t="shared" si="14"/>
        <v>18.361599999999999</v>
      </c>
    </row>
    <row r="176" spans="1:14" x14ac:dyDescent="0.25">
      <c r="A176" s="39">
        <f t="shared" si="13"/>
        <v>173</v>
      </c>
      <c r="B176" s="18">
        <v>57</v>
      </c>
      <c r="C176" s="33" t="s">
        <v>303</v>
      </c>
      <c r="D176" s="18" t="s">
        <v>295</v>
      </c>
      <c r="E176" s="142">
        <v>2576</v>
      </c>
      <c r="F176" s="18">
        <v>2576</v>
      </c>
      <c r="G176" s="142">
        <v>10</v>
      </c>
      <c r="H176" s="18">
        <v>10</v>
      </c>
      <c r="I176" s="18">
        <v>100</v>
      </c>
      <c r="J176" s="34">
        <v>0.03</v>
      </c>
      <c r="K176" s="31">
        <f t="shared" si="12"/>
        <v>2.5760000000000001</v>
      </c>
      <c r="L176" s="31">
        <f t="shared" si="10"/>
        <v>0.77280000000000004</v>
      </c>
      <c r="M176" s="31">
        <f t="shared" si="11"/>
        <v>0.77280000000000004</v>
      </c>
      <c r="N176" s="31">
        <f t="shared" si="14"/>
        <v>4.1215999999999999</v>
      </c>
    </row>
    <row r="177" spans="1:14" x14ac:dyDescent="0.25">
      <c r="A177" s="39">
        <f t="shared" si="13"/>
        <v>174</v>
      </c>
      <c r="B177" s="18">
        <v>57</v>
      </c>
      <c r="C177" s="33" t="s">
        <v>303</v>
      </c>
      <c r="D177" s="18" t="s">
        <v>296</v>
      </c>
      <c r="E177" s="142">
        <v>3273</v>
      </c>
      <c r="F177" s="18">
        <v>3273</v>
      </c>
      <c r="G177" s="142">
        <v>10</v>
      </c>
      <c r="H177" s="18">
        <v>10</v>
      </c>
      <c r="I177" s="18">
        <v>100</v>
      </c>
      <c r="J177" s="34">
        <v>0.03</v>
      </c>
      <c r="K177" s="31">
        <f t="shared" si="12"/>
        <v>3.2730000000000001</v>
      </c>
      <c r="L177" s="31">
        <f t="shared" si="10"/>
        <v>0.98189999999999988</v>
      </c>
      <c r="M177" s="31">
        <f t="shared" si="11"/>
        <v>0.9819</v>
      </c>
      <c r="N177" s="31">
        <f t="shared" si="14"/>
        <v>5.2368000000000006</v>
      </c>
    </row>
    <row r="178" spans="1:14" x14ac:dyDescent="0.25">
      <c r="A178" s="39">
        <f t="shared" si="13"/>
        <v>175</v>
      </c>
      <c r="B178" s="18">
        <v>57</v>
      </c>
      <c r="C178" s="33" t="s">
        <v>303</v>
      </c>
      <c r="D178" s="18" t="s">
        <v>297</v>
      </c>
      <c r="E178" s="142">
        <v>3831</v>
      </c>
      <c r="F178" s="18">
        <v>3831</v>
      </c>
      <c r="G178" s="142">
        <v>10</v>
      </c>
      <c r="H178" s="18">
        <v>10</v>
      </c>
      <c r="I178" s="18">
        <v>100</v>
      </c>
      <c r="J178" s="34">
        <v>0.03</v>
      </c>
      <c r="K178" s="31">
        <f t="shared" si="12"/>
        <v>3.831</v>
      </c>
      <c r="L178" s="31">
        <f t="shared" si="10"/>
        <v>1.1493</v>
      </c>
      <c r="M178" s="31">
        <f t="shared" si="11"/>
        <v>1.1493</v>
      </c>
      <c r="N178" s="31">
        <f t="shared" si="14"/>
        <v>6.1295999999999999</v>
      </c>
    </row>
    <row r="179" spans="1:14" x14ac:dyDescent="0.25">
      <c r="A179" s="39">
        <f t="shared" si="13"/>
        <v>176</v>
      </c>
      <c r="B179" s="18">
        <v>57</v>
      </c>
      <c r="C179" s="33" t="s">
        <v>303</v>
      </c>
      <c r="D179" s="18" t="s">
        <v>135</v>
      </c>
      <c r="E179" s="142">
        <v>4319</v>
      </c>
      <c r="F179" s="18">
        <v>4319</v>
      </c>
      <c r="G179" s="142">
        <v>10</v>
      </c>
      <c r="H179" s="18">
        <v>10</v>
      </c>
      <c r="I179" s="18">
        <v>100</v>
      </c>
      <c r="J179" s="34">
        <v>0.03</v>
      </c>
      <c r="K179" s="31">
        <f t="shared" si="12"/>
        <v>4.319</v>
      </c>
      <c r="L179" s="31">
        <f t="shared" si="10"/>
        <v>1.2956999999999999</v>
      </c>
      <c r="M179" s="31">
        <f t="shared" si="11"/>
        <v>1.2956999999999999</v>
      </c>
      <c r="N179" s="31">
        <f t="shared" si="14"/>
        <v>6.9104000000000001</v>
      </c>
    </row>
    <row r="180" spans="1:14" x14ac:dyDescent="0.25">
      <c r="A180" s="39">
        <f t="shared" si="13"/>
        <v>177</v>
      </c>
      <c r="B180" s="18">
        <v>57</v>
      </c>
      <c r="C180" s="33" t="s">
        <v>303</v>
      </c>
      <c r="D180" s="18" t="s">
        <v>298</v>
      </c>
      <c r="E180" s="142">
        <v>5015</v>
      </c>
      <c r="F180" s="18">
        <v>5015</v>
      </c>
      <c r="G180" s="142">
        <v>10</v>
      </c>
      <c r="H180" s="18">
        <v>10</v>
      </c>
      <c r="I180" s="18">
        <v>100</v>
      </c>
      <c r="J180" s="34">
        <v>0.03</v>
      </c>
      <c r="K180" s="31">
        <f t="shared" si="12"/>
        <v>5.0149999999999997</v>
      </c>
      <c r="L180" s="31">
        <f t="shared" si="10"/>
        <v>1.5044999999999999</v>
      </c>
      <c r="M180" s="31">
        <f t="shared" si="11"/>
        <v>1.5044999999999999</v>
      </c>
      <c r="N180" s="31">
        <f t="shared" si="14"/>
        <v>8.0239999999999991</v>
      </c>
    </row>
    <row r="181" spans="1:14" x14ac:dyDescent="0.25">
      <c r="A181" s="39">
        <f t="shared" si="13"/>
        <v>178</v>
      </c>
      <c r="B181" s="18">
        <v>57</v>
      </c>
      <c r="C181" s="33" t="s">
        <v>303</v>
      </c>
      <c r="D181" s="18" t="s">
        <v>299</v>
      </c>
      <c r="E181" s="142">
        <v>5711</v>
      </c>
      <c r="F181" s="18">
        <v>5711</v>
      </c>
      <c r="G181" s="142">
        <v>10</v>
      </c>
      <c r="H181" s="18">
        <v>10</v>
      </c>
      <c r="I181" s="18">
        <v>100</v>
      </c>
      <c r="J181" s="34">
        <v>0.03</v>
      </c>
      <c r="K181" s="31">
        <f t="shared" si="12"/>
        <v>5.7110000000000003</v>
      </c>
      <c r="L181" s="31">
        <f t="shared" si="10"/>
        <v>1.7132999999999998</v>
      </c>
      <c r="M181" s="31">
        <f t="shared" si="11"/>
        <v>1.7132999999999998</v>
      </c>
      <c r="N181" s="31">
        <f t="shared" si="14"/>
        <v>9.1376000000000008</v>
      </c>
    </row>
    <row r="182" spans="1:14" x14ac:dyDescent="0.25">
      <c r="A182" s="39">
        <f t="shared" si="13"/>
        <v>179</v>
      </c>
      <c r="B182" s="18">
        <v>57</v>
      </c>
      <c r="C182" s="33" t="s">
        <v>303</v>
      </c>
      <c r="D182" s="18" t="s">
        <v>300</v>
      </c>
      <c r="E182" s="142">
        <v>6408</v>
      </c>
      <c r="F182" s="18">
        <v>6408</v>
      </c>
      <c r="G182" s="142">
        <v>10</v>
      </c>
      <c r="H182" s="18">
        <v>10</v>
      </c>
      <c r="I182" s="18">
        <v>100</v>
      </c>
      <c r="J182" s="34">
        <v>0.03</v>
      </c>
      <c r="K182" s="31">
        <f t="shared" si="12"/>
        <v>6.4080000000000004</v>
      </c>
      <c r="L182" s="31">
        <f t="shared" si="10"/>
        <v>1.9223999999999999</v>
      </c>
      <c r="M182" s="31">
        <f t="shared" si="11"/>
        <v>1.9223999999999999</v>
      </c>
      <c r="N182" s="31">
        <f t="shared" si="14"/>
        <v>10.252800000000001</v>
      </c>
    </row>
    <row r="183" spans="1:14" x14ac:dyDescent="0.25">
      <c r="A183" s="39">
        <f t="shared" si="13"/>
        <v>180</v>
      </c>
      <c r="B183" s="18">
        <v>57</v>
      </c>
      <c r="C183" s="33" t="s">
        <v>303</v>
      </c>
      <c r="D183" s="18" t="s">
        <v>301</v>
      </c>
      <c r="E183" s="142">
        <v>7454</v>
      </c>
      <c r="F183" s="18">
        <v>7454</v>
      </c>
      <c r="G183" s="142">
        <v>10</v>
      </c>
      <c r="H183" s="18">
        <v>10</v>
      </c>
      <c r="I183" s="18">
        <v>100</v>
      </c>
      <c r="J183" s="34">
        <v>0.03</v>
      </c>
      <c r="K183" s="31">
        <f t="shared" si="12"/>
        <v>7.4539999999999997</v>
      </c>
      <c r="L183" s="31">
        <f t="shared" si="10"/>
        <v>2.2362000000000002</v>
      </c>
      <c r="M183" s="31">
        <f t="shared" si="11"/>
        <v>2.2362000000000002</v>
      </c>
      <c r="N183" s="31">
        <f t="shared" si="14"/>
        <v>11.926400000000001</v>
      </c>
    </row>
    <row r="184" spans="1:14" x14ac:dyDescent="0.25">
      <c r="A184" s="39">
        <f t="shared" si="13"/>
        <v>181</v>
      </c>
      <c r="B184" s="18">
        <v>57</v>
      </c>
      <c r="C184" s="33" t="s">
        <v>303</v>
      </c>
      <c r="D184" s="18" t="s">
        <v>302</v>
      </c>
      <c r="E184" s="142">
        <v>8500</v>
      </c>
      <c r="F184" s="18">
        <v>8500</v>
      </c>
      <c r="G184" s="142">
        <v>10</v>
      </c>
      <c r="H184" s="18">
        <v>10</v>
      </c>
      <c r="I184" s="18">
        <v>100</v>
      </c>
      <c r="J184" s="34">
        <v>0.03</v>
      </c>
      <c r="K184" s="31">
        <f t="shared" si="12"/>
        <v>8.5</v>
      </c>
      <c r="L184" s="31">
        <f t="shared" si="10"/>
        <v>2.5499999999999998</v>
      </c>
      <c r="M184" s="31">
        <f t="shared" si="11"/>
        <v>2.5499999999999998</v>
      </c>
      <c r="N184" s="31">
        <f t="shared" si="14"/>
        <v>13.600000000000001</v>
      </c>
    </row>
    <row r="185" spans="1:14" x14ac:dyDescent="0.25">
      <c r="A185" s="39">
        <f t="shared" si="13"/>
        <v>182</v>
      </c>
      <c r="B185" s="18">
        <v>58</v>
      </c>
      <c r="C185" s="33" t="s">
        <v>304</v>
      </c>
      <c r="D185" s="18" t="s">
        <v>280</v>
      </c>
      <c r="E185" s="142">
        <v>1607</v>
      </c>
      <c r="F185" s="18">
        <v>1607</v>
      </c>
      <c r="G185" s="142">
        <v>10</v>
      </c>
      <c r="H185" s="18">
        <v>10</v>
      </c>
      <c r="I185" s="18">
        <v>100</v>
      </c>
      <c r="J185" s="34">
        <v>0.04</v>
      </c>
      <c r="K185" s="31">
        <f t="shared" si="12"/>
        <v>1.607</v>
      </c>
      <c r="L185" s="31">
        <f t="shared" si="10"/>
        <v>0.48209999999999997</v>
      </c>
      <c r="M185" s="31">
        <f t="shared" si="11"/>
        <v>0.64280000000000004</v>
      </c>
      <c r="N185" s="31">
        <f t="shared" si="14"/>
        <v>2.7319000000000004</v>
      </c>
    </row>
    <row r="186" spans="1:14" x14ac:dyDescent="0.25">
      <c r="A186" s="39">
        <f t="shared" si="13"/>
        <v>183</v>
      </c>
      <c r="B186" s="18">
        <v>59</v>
      </c>
      <c r="C186" s="33" t="s">
        <v>305</v>
      </c>
      <c r="D186" s="18" t="s">
        <v>280</v>
      </c>
      <c r="E186" s="142">
        <v>1793</v>
      </c>
      <c r="F186" s="18">
        <v>1793</v>
      </c>
      <c r="G186" s="142">
        <v>10</v>
      </c>
      <c r="H186" s="18">
        <v>10</v>
      </c>
      <c r="I186" s="18">
        <v>100</v>
      </c>
      <c r="J186" s="34">
        <v>0.1</v>
      </c>
      <c r="K186" s="31">
        <f t="shared" si="12"/>
        <v>1.7929999999999999</v>
      </c>
      <c r="L186" s="31">
        <f t="shared" si="10"/>
        <v>0.53789999999999993</v>
      </c>
      <c r="M186" s="31">
        <f t="shared" si="11"/>
        <v>1.7930000000000001</v>
      </c>
      <c r="N186" s="31">
        <f t="shared" si="14"/>
        <v>4.1238999999999999</v>
      </c>
    </row>
    <row r="187" spans="1:14" x14ac:dyDescent="0.25">
      <c r="A187" s="39">
        <f t="shared" si="13"/>
        <v>184</v>
      </c>
      <c r="B187" s="18">
        <v>60</v>
      </c>
      <c r="C187" s="33" t="s">
        <v>306</v>
      </c>
      <c r="D187" s="18" t="s">
        <v>142</v>
      </c>
      <c r="E187" s="142">
        <v>1059</v>
      </c>
      <c r="F187" s="18">
        <v>1059</v>
      </c>
      <c r="G187" s="142">
        <v>10</v>
      </c>
      <c r="H187" s="18">
        <v>10</v>
      </c>
      <c r="I187" s="18">
        <v>100</v>
      </c>
      <c r="J187" s="34">
        <v>0.1</v>
      </c>
      <c r="K187" s="31">
        <f t="shared" si="12"/>
        <v>1.0589999999999999</v>
      </c>
      <c r="L187" s="31">
        <f t="shared" si="10"/>
        <v>0.31769999999999998</v>
      </c>
      <c r="M187" s="31">
        <f t="shared" si="11"/>
        <v>1.0590000000000002</v>
      </c>
      <c r="N187" s="31">
        <f t="shared" si="14"/>
        <v>2.4357000000000002</v>
      </c>
    </row>
    <row r="188" spans="1:14" x14ac:dyDescent="0.25">
      <c r="A188" s="39">
        <f t="shared" si="13"/>
        <v>185</v>
      </c>
      <c r="B188" s="18">
        <v>60</v>
      </c>
      <c r="C188" s="33" t="s">
        <v>306</v>
      </c>
      <c r="D188" s="18" t="s">
        <v>283</v>
      </c>
      <c r="E188" s="142">
        <v>1305</v>
      </c>
      <c r="F188" s="18">
        <v>1305</v>
      </c>
      <c r="G188" s="142">
        <v>10</v>
      </c>
      <c r="H188" s="18">
        <v>10</v>
      </c>
      <c r="I188" s="18">
        <v>100</v>
      </c>
      <c r="J188" s="34">
        <v>0.1</v>
      </c>
      <c r="K188" s="31">
        <f t="shared" si="12"/>
        <v>1.3049999999999999</v>
      </c>
      <c r="L188" s="31">
        <f t="shared" si="10"/>
        <v>0.39150000000000001</v>
      </c>
      <c r="M188" s="31">
        <f t="shared" si="11"/>
        <v>1.3049999999999999</v>
      </c>
      <c r="N188" s="31">
        <f t="shared" si="14"/>
        <v>3.0015000000000001</v>
      </c>
    </row>
    <row r="189" spans="1:14" x14ac:dyDescent="0.25">
      <c r="A189" s="39">
        <f t="shared" si="13"/>
        <v>186</v>
      </c>
      <c r="B189" s="18">
        <v>60</v>
      </c>
      <c r="C189" s="33" t="s">
        <v>306</v>
      </c>
      <c r="D189" s="18" t="s">
        <v>147</v>
      </c>
      <c r="E189" s="142">
        <v>1793</v>
      </c>
      <c r="F189" s="18">
        <v>1793</v>
      </c>
      <c r="G189" s="142">
        <v>10</v>
      </c>
      <c r="H189" s="18">
        <v>10</v>
      </c>
      <c r="I189" s="18">
        <v>100</v>
      </c>
      <c r="J189" s="34">
        <v>0.1</v>
      </c>
      <c r="K189" s="31">
        <f t="shared" si="12"/>
        <v>1.7929999999999999</v>
      </c>
      <c r="L189" s="31">
        <f t="shared" si="10"/>
        <v>0.53789999999999993</v>
      </c>
      <c r="M189" s="31">
        <f t="shared" si="11"/>
        <v>1.7930000000000001</v>
      </c>
      <c r="N189" s="31">
        <f t="shared" si="14"/>
        <v>4.1238999999999999</v>
      </c>
    </row>
    <row r="190" spans="1:14" x14ac:dyDescent="0.25">
      <c r="A190" s="39">
        <f t="shared" si="13"/>
        <v>187</v>
      </c>
      <c r="B190" s="18">
        <v>60</v>
      </c>
      <c r="C190" s="33" t="s">
        <v>306</v>
      </c>
      <c r="D190" s="18" t="s">
        <v>245</v>
      </c>
      <c r="E190" s="142">
        <v>2286</v>
      </c>
      <c r="F190" s="18">
        <v>2286</v>
      </c>
      <c r="G190" s="142">
        <v>10</v>
      </c>
      <c r="H190" s="18">
        <v>10</v>
      </c>
      <c r="I190" s="18">
        <v>100</v>
      </c>
      <c r="J190" s="34">
        <v>0.1</v>
      </c>
      <c r="K190" s="31">
        <f t="shared" si="12"/>
        <v>2.286</v>
      </c>
      <c r="L190" s="31">
        <f t="shared" si="10"/>
        <v>0.68579999999999997</v>
      </c>
      <c r="M190" s="31">
        <f t="shared" si="11"/>
        <v>2.286</v>
      </c>
      <c r="N190" s="31">
        <f t="shared" si="14"/>
        <v>5.2577999999999996</v>
      </c>
    </row>
    <row r="191" spans="1:14" x14ac:dyDescent="0.25">
      <c r="A191" s="39">
        <f t="shared" si="13"/>
        <v>188</v>
      </c>
      <c r="B191" s="18">
        <v>61</v>
      </c>
      <c r="C191" s="33" t="s">
        <v>307</v>
      </c>
      <c r="D191" s="18" t="s">
        <v>147</v>
      </c>
      <c r="E191" s="142">
        <v>13405</v>
      </c>
      <c r="F191" s="18">
        <v>13405</v>
      </c>
      <c r="G191" s="142">
        <v>10</v>
      </c>
      <c r="H191" s="18">
        <v>10</v>
      </c>
      <c r="I191" s="18">
        <v>100</v>
      </c>
      <c r="J191" s="34">
        <v>0.03</v>
      </c>
      <c r="K191" s="31">
        <f t="shared" si="12"/>
        <v>13.404999999999999</v>
      </c>
      <c r="L191" s="31">
        <f t="shared" si="10"/>
        <v>4.0215000000000005</v>
      </c>
      <c r="M191" s="31">
        <f t="shared" si="11"/>
        <v>4.0214999999999996</v>
      </c>
      <c r="N191" s="31">
        <f t="shared" si="14"/>
        <v>21.448</v>
      </c>
    </row>
    <row r="192" spans="1:14" x14ac:dyDescent="0.25">
      <c r="A192" s="39">
        <f t="shared" si="13"/>
        <v>189</v>
      </c>
      <c r="B192" s="18">
        <v>61</v>
      </c>
      <c r="C192" s="33" t="s">
        <v>307</v>
      </c>
      <c r="D192" s="18" t="s">
        <v>308</v>
      </c>
      <c r="E192" s="142">
        <v>14547</v>
      </c>
      <c r="F192" s="18">
        <v>14547</v>
      </c>
      <c r="G192" s="142">
        <v>10</v>
      </c>
      <c r="H192" s="18">
        <v>10</v>
      </c>
      <c r="I192" s="18">
        <v>100</v>
      </c>
      <c r="J192" s="34">
        <v>0.03</v>
      </c>
      <c r="K192" s="31">
        <f t="shared" si="12"/>
        <v>14.547000000000001</v>
      </c>
      <c r="L192" s="31">
        <f t="shared" si="10"/>
        <v>4.3640999999999996</v>
      </c>
      <c r="M192" s="31">
        <f t="shared" si="11"/>
        <v>4.3640999999999996</v>
      </c>
      <c r="N192" s="31">
        <f t="shared" si="14"/>
        <v>23.275200000000002</v>
      </c>
    </row>
    <row r="193" spans="1:14" x14ac:dyDescent="0.25">
      <c r="A193" s="39">
        <f t="shared" si="13"/>
        <v>190</v>
      </c>
      <c r="B193" s="18">
        <v>61</v>
      </c>
      <c r="C193" s="33" t="s">
        <v>307</v>
      </c>
      <c r="D193" s="18" t="s">
        <v>245</v>
      </c>
      <c r="E193" s="142">
        <v>15690</v>
      </c>
      <c r="F193" s="18">
        <v>15690</v>
      </c>
      <c r="G193" s="142">
        <v>10</v>
      </c>
      <c r="H193" s="18">
        <v>10</v>
      </c>
      <c r="I193" s="18">
        <v>100</v>
      </c>
      <c r="J193" s="34">
        <v>0.03</v>
      </c>
      <c r="K193" s="31">
        <f t="shared" si="12"/>
        <v>15.69</v>
      </c>
      <c r="L193" s="31">
        <f t="shared" si="10"/>
        <v>4.7069999999999999</v>
      </c>
      <c r="M193" s="31">
        <f t="shared" si="11"/>
        <v>4.7069999999999999</v>
      </c>
      <c r="N193" s="31">
        <f t="shared" si="14"/>
        <v>25.103999999999999</v>
      </c>
    </row>
    <row r="194" spans="1:14" x14ac:dyDescent="0.25">
      <c r="A194" s="39">
        <f t="shared" si="13"/>
        <v>191</v>
      </c>
      <c r="B194" s="18">
        <v>62</v>
      </c>
      <c r="C194" s="33" t="s">
        <v>309</v>
      </c>
      <c r="D194" s="18" t="s">
        <v>310</v>
      </c>
      <c r="E194" s="142">
        <v>1556</v>
      </c>
      <c r="F194" s="18">
        <v>1556</v>
      </c>
      <c r="G194" s="142">
        <v>10</v>
      </c>
      <c r="H194" s="18">
        <v>10</v>
      </c>
      <c r="I194" s="18">
        <v>100</v>
      </c>
      <c r="J194" s="34">
        <v>0.1</v>
      </c>
      <c r="K194" s="31">
        <f t="shared" si="12"/>
        <v>1.556</v>
      </c>
      <c r="L194" s="31">
        <f t="shared" si="10"/>
        <v>0.46679999999999999</v>
      </c>
      <c r="M194" s="31">
        <f t="shared" si="11"/>
        <v>1.5560000000000003</v>
      </c>
      <c r="N194" s="31">
        <f t="shared" si="14"/>
        <v>3.5788000000000002</v>
      </c>
    </row>
    <row r="195" spans="1:14" x14ac:dyDescent="0.25">
      <c r="A195" s="39">
        <f t="shared" si="13"/>
        <v>192</v>
      </c>
      <c r="B195" s="18">
        <v>63</v>
      </c>
      <c r="C195" s="33" t="s">
        <v>311</v>
      </c>
      <c r="D195" s="18" t="s">
        <v>312</v>
      </c>
      <c r="E195" s="142">
        <v>1809</v>
      </c>
      <c r="F195" s="18">
        <v>1809</v>
      </c>
      <c r="G195" s="142">
        <v>10</v>
      </c>
      <c r="H195" s="18">
        <v>10</v>
      </c>
      <c r="I195" s="18">
        <v>100</v>
      </c>
      <c r="J195" s="34">
        <v>0.04</v>
      </c>
      <c r="K195" s="31">
        <f t="shared" si="12"/>
        <v>1.8089999999999999</v>
      </c>
      <c r="L195" s="31">
        <f t="shared" si="10"/>
        <v>0.54269999999999996</v>
      </c>
      <c r="M195" s="31">
        <f t="shared" si="11"/>
        <v>0.72360000000000002</v>
      </c>
      <c r="N195" s="31">
        <f t="shared" si="14"/>
        <v>3.0753000000000004</v>
      </c>
    </row>
    <row r="196" spans="1:14" x14ac:dyDescent="0.25">
      <c r="A196" s="39">
        <f t="shared" si="13"/>
        <v>193</v>
      </c>
      <c r="B196" s="18">
        <v>64</v>
      </c>
      <c r="C196" s="33" t="s">
        <v>313</v>
      </c>
      <c r="D196" s="18" t="s">
        <v>275</v>
      </c>
      <c r="E196" s="142">
        <v>5157</v>
      </c>
      <c r="F196" s="18">
        <v>5157</v>
      </c>
      <c r="G196" s="142">
        <v>10</v>
      </c>
      <c r="H196" s="18">
        <v>10</v>
      </c>
      <c r="I196" s="18">
        <v>100</v>
      </c>
      <c r="J196" s="34">
        <v>0.04</v>
      </c>
      <c r="K196" s="31">
        <f t="shared" si="12"/>
        <v>5.157</v>
      </c>
      <c r="L196" s="31">
        <f t="shared" ref="L196:L235" si="15">+(F196/I196)*($L$1/100)</f>
        <v>1.5470999999999999</v>
      </c>
      <c r="M196" s="31">
        <f t="shared" ref="M196:M235" si="16">+F196*J196/100</f>
        <v>2.0628000000000002</v>
      </c>
      <c r="N196" s="31">
        <f t="shared" si="14"/>
        <v>8.7668999999999997</v>
      </c>
    </row>
    <row r="197" spans="1:14" x14ac:dyDescent="0.25">
      <c r="A197" s="39">
        <f t="shared" si="13"/>
        <v>194</v>
      </c>
      <c r="B197" s="18">
        <v>65</v>
      </c>
      <c r="C197" s="33" t="s">
        <v>314</v>
      </c>
      <c r="D197" s="18" t="s">
        <v>315</v>
      </c>
      <c r="E197" s="142">
        <v>54942</v>
      </c>
      <c r="F197" s="18">
        <v>54942</v>
      </c>
      <c r="G197" s="142">
        <v>10</v>
      </c>
      <c r="H197" s="18">
        <v>10</v>
      </c>
      <c r="I197" s="18">
        <v>100</v>
      </c>
      <c r="J197" s="34">
        <v>0.03</v>
      </c>
      <c r="K197" s="31">
        <f t="shared" ref="K197:K235" si="17">+F197/(H197*I197)</f>
        <v>54.942</v>
      </c>
      <c r="L197" s="31">
        <f t="shared" si="15"/>
        <v>16.482599999999998</v>
      </c>
      <c r="M197" s="31">
        <f t="shared" si="16"/>
        <v>16.482600000000001</v>
      </c>
      <c r="N197" s="31">
        <f t="shared" si="14"/>
        <v>87.907200000000003</v>
      </c>
    </row>
    <row r="198" spans="1:14" x14ac:dyDescent="0.25">
      <c r="A198" s="39">
        <f t="shared" ref="A198:A235" si="18">+A197+1</f>
        <v>195</v>
      </c>
      <c r="B198" s="18">
        <v>66</v>
      </c>
      <c r="C198" s="33" t="s">
        <v>316</v>
      </c>
      <c r="D198" s="18" t="s">
        <v>317</v>
      </c>
      <c r="E198" s="142">
        <v>3105</v>
      </c>
      <c r="F198" s="18">
        <v>3105</v>
      </c>
      <c r="G198" s="142">
        <v>10</v>
      </c>
      <c r="H198" s="18">
        <v>10</v>
      </c>
      <c r="I198" s="18">
        <v>100</v>
      </c>
      <c r="J198" s="34">
        <v>0.08</v>
      </c>
      <c r="K198" s="31">
        <f t="shared" si="17"/>
        <v>3.105</v>
      </c>
      <c r="L198" s="31">
        <f t="shared" si="15"/>
        <v>0.93149999999999999</v>
      </c>
      <c r="M198" s="31">
        <f t="shared" si="16"/>
        <v>2.484</v>
      </c>
      <c r="N198" s="31">
        <f t="shared" ref="N198:N235" si="19">+K198+L198+M198</f>
        <v>6.5205000000000002</v>
      </c>
    </row>
    <row r="199" spans="1:14" x14ac:dyDescent="0.25">
      <c r="A199" s="39">
        <f t="shared" si="18"/>
        <v>196</v>
      </c>
      <c r="B199" s="18">
        <v>67</v>
      </c>
      <c r="C199" s="33" t="s">
        <v>318</v>
      </c>
      <c r="D199" s="18" t="s">
        <v>319</v>
      </c>
      <c r="E199" s="142">
        <v>5114</v>
      </c>
      <c r="F199" s="18">
        <v>5114</v>
      </c>
      <c r="G199" s="142">
        <v>10</v>
      </c>
      <c r="H199" s="18">
        <v>10</v>
      </c>
      <c r="I199" s="18">
        <v>100</v>
      </c>
      <c r="J199" s="34">
        <v>0.08</v>
      </c>
      <c r="K199" s="31">
        <f t="shared" si="17"/>
        <v>5.1139999999999999</v>
      </c>
      <c r="L199" s="31">
        <f t="shared" si="15"/>
        <v>1.5342</v>
      </c>
      <c r="M199" s="31">
        <f t="shared" si="16"/>
        <v>4.0911999999999997</v>
      </c>
      <c r="N199" s="31">
        <f t="shared" si="19"/>
        <v>10.7394</v>
      </c>
    </row>
    <row r="200" spans="1:14" x14ac:dyDescent="0.25">
      <c r="A200" s="39">
        <f t="shared" si="18"/>
        <v>197</v>
      </c>
      <c r="B200" s="18">
        <v>67</v>
      </c>
      <c r="C200" s="33" t="s">
        <v>318</v>
      </c>
      <c r="D200" s="18" t="s">
        <v>320</v>
      </c>
      <c r="E200" s="142">
        <v>5808</v>
      </c>
      <c r="F200" s="18">
        <v>5808</v>
      </c>
      <c r="G200" s="142">
        <v>10</v>
      </c>
      <c r="H200" s="18">
        <v>10</v>
      </c>
      <c r="I200" s="18">
        <v>100</v>
      </c>
      <c r="J200" s="34">
        <v>0.08</v>
      </c>
      <c r="K200" s="31">
        <f t="shared" si="17"/>
        <v>5.8079999999999998</v>
      </c>
      <c r="L200" s="31">
        <f t="shared" si="15"/>
        <v>1.7423999999999999</v>
      </c>
      <c r="M200" s="31">
        <f t="shared" si="16"/>
        <v>4.6463999999999999</v>
      </c>
      <c r="N200" s="31">
        <f t="shared" si="19"/>
        <v>12.1968</v>
      </c>
    </row>
    <row r="201" spans="1:14" x14ac:dyDescent="0.25">
      <c r="A201" s="39">
        <f t="shared" si="18"/>
        <v>198</v>
      </c>
      <c r="B201" s="18">
        <v>67</v>
      </c>
      <c r="C201" s="33" t="s">
        <v>318</v>
      </c>
      <c r="D201" s="18" t="s">
        <v>321</v>
      </c>
      <c r="E201" s="142">
        <v>7197</v>
      </c>
      <c r="F201" s="18">
        <v>7197</v>
      </c>
      <c r="G201" s="142">
        <v>10</v>
      </c>
      <c r="H201" s="18">
        <v>10</v>
      </c>
      <c r="I201" s="18">
        <v>100</v>
      </c>
      <c r="J201" s="34">
        <v>0.08</v>
      </c>
      <c r="K201" s="31">
        <f t="shared" si="17"/>
        <v>7.1970000000000001</v>
      </c>
      <c r="L201" s="31">
        <f t="shared" si="15"/>
        <v>2.1591</v>
      </c>
      <c r="M201" s="31">
        <f t="shared" si="16"/>
        <v>5.7576000000000001</v>
      </c>
      <c r="N201" s="31">
        <f t="shared" si="19"/>
        <v>15.1137</v>
      </c>
    </row>
    <row r="202" spans="1:14" x14ac:dyDescent="0.25">
      <c r="A202" s="39">
        <f t="shared" si="18"/>
        <v>199</v>
      </c>
      <c r="B202" s="18">
        <v>68</v>
      </c>
      <c r="C202" s="33" t="s">
        <v>322</v>
      </c>
      <c r="D202" s="18" t="s">
        <v>323</v>
      </c>
      <c r="E202" s="142">
        <v>5772</v>
      </c>
      <c r="F202" s="18">
        <v>5772</v>
      </c>
      <c r="G202" s="142">
        <v>10</v>
      </c>
      <c r="H202" s="18">
        <v>10</v>
      </c>
      <c r="I202" s="18">
        <v>100</v>
      </c>
      <c r="J202" s="34">
        <v>0.02</v>
      </c>
      <c r="K202" s="31">
        <f t="shared" si="17"/>
        <v>5.7720000000000002</v>
      </c>
      <c r="L202" s="31">
        <f t="shared" si="15"/>
        <v>1.7315999999999998</v>
      </c>
      <c r="M202" s="31">
        <f t="shared" si="16"/>
        <v>1.1543999999999999</v>
      </c>
      <c r="N202" s="31">
        <f t="shared" si="19"/>
        <v>8.6580000000000013</v>
      </c>
    </row>
    <row r="203" spans="1:14" x14ac:dyDescent="0.25">
      <c r="A203" s="39">
        <f t="shared" si="18"/>
        <v>200</v>
      </c>
      <c r="B203" s="18">
        <v>69</v>
      </c>
      <c r="C203" s="33" t="s">
        <v>324</v>
      </c>
      <c r="D203" s="18" t="s">
        <v>323</v>
      </c>
      <c r="E203" s="142">
        <v>9315</v>
      </c>
      <c r="F203" s="18">
        <v>9315</v>
      </c>
      <c r="G203" s="142">
        <v>10</v>
      </c>
      <c r="H203" s="18">
        <v>10</v>
      </c>
      <c r="I203" s="18">
        <v>100</v>
      </c>
      <c r="J203" s="34">
        <v>0.02</v>
      </c>
      <c r="K203" s="31">
        <f t="shared" si="17"/>
        <v>9.3149999999999995</v>
      </c>
      <c r="L203" s="31">
        <f t="shared" si="15"/>
        <v>2.7945000000000002</v>
      </c>
      <c r="M203" s="31">
        <f t="shared" si="16"/>
        <v>1.8630000000000002</v>
      </c>
      <c r="N203" s="31">
        <f t="shared" si="19"/>
        <v>13.9725</v>
      </c>
    </row>
    <row r="204" spans="1:14" x14ac:dyDescent="0.25">
      <c r="A204" s="39">
        <f t="shared" si="18"/>
        <v>201</v>
      </c>
      <c r="B204" s="18">
        <v>70</v>
      </c>
      <c r="C204" s="33" t="s">
        <v>325</v>
      </c>
      <c r="D204" s="18" t="s">
        <v>320</v>
      </c>
      <c r="E204" s="142">
        <v>5443</v>
      </c>
      <c r="F204" s="18">
        <v>5443</v>
      </c>
      <c r="G204" s="142">
        <v>10</v>
      </c>
      <c r="H204" s="18">
        <v>10</v>
      </c>
      <c r="I204" s="18">
        <v>100</v>
      </c>
      <c r="J204" s="34">
        <v>0.03</v>
      </c>
      <c r="K204" s="31">
        <f t="shared" si="17"/>
        <v>5.4429999999999996</v>
      </c>
      <c r="L204" s="31">
        <f t="shared" si="15"/>
        <v>1.6329</v>
      </c>
      <c r="M204" s="31">
        <f t="shared" si="16"/>
        <v>1.6329</v>
      </c>
      <c r="N204" s="31">
        <f t="shared" si="19"/>
        <v>8.7088000000000001</v>
      </c>
    </row>
    <row r="205" spans="1:14" x14ac:dyDescent="0.25">
      <c r="A205" s="39">
        <f t="shared" si="18"/>
        <v>202</v>
      </c>
      <c r="B205" s="18">
        <v>71</v>
      </c>
      <c r="C205" s="33" t="s">
        <v>326</v>
      </c>
      <c r="D205" s="18" t="s">
        <v>327</v>
      </c>
      <c r="E205" s="142">
        <v>112222</v>
      </c>
      <c r="F205" s="18">
        <v>112222</v>
      </c>
      <c r="G205" s="142">
        <v>10</v>
      </c>
      <c r="H205" s="18">
        <v>10</v>
      </c>
      <c r="I205" s="18">
        <v>100</v>
      </c>
      <c r="J205" s="34">
        <v>1.7000000000000001E-2</v>
      </c>
      <c r="K205" s="31">
        <f t="shared" si="17"/>
        <v>112.22199999999999</v>
      </c>
      <c r="L205" s="31">
        <f t="shared" si="15"/>
        <v>33.666600000000003</v>
      </c>
      <c r="M205" s="31">
        <f t="shared" si="16"/>
        <v>19.077740000000002</v>
      </c>
      <c r="N205" s="31">
        <f t="shared" si="19"/>
        <v>164.96634</v>
      </c>
    </row>
    <row r="206" spans="1:14" x14ac:dyDescent="0.25">
      <c r="A206" s="39">
        <f t="shared" si="18"/>
        <v>203</v>
      </c>
      <c r="B206" s="18">
        <v>71</v>
      </c>
      <c r="C206" s="33" t="s">
        <v>326</v>
      </c>
      <c r="D206" s="18" t="s">
        <v>328</v>
      </c>
      <c r="E206" s="142">
        <v>125520</v>
      </c>
      <c r="F206" s="18">
        <v>125520</v>
      </c>
      <c r="G206" s="142">
        <v>10</v>
      </c>
      <c r="H206" s="18">
        <v>10</v>
      </c>
      <c r="I206" s="18">
        <v>100</v>
      </c>
      <c r="J206" s="34">
        <v>1.7000000000000001E-2</v>
      </c>
      <c r="K206" s="31">
        <f t="shared" si="17"/>
        <v>125.52</v>
      </c>
      <c r="L206" s="31">
        <f t="shared" si="15"/>
        <v>37.655999999999999</v>
      </c>
      <c r="M206" s="31">
        <f t="shared" si="16"/>
        <v>21.3384</v>
      </c>
      <c r="N206" s="31">
        <f t="shared" si="19"/>
        <v>184.51439999999999</v>
      </c>
    </row>
    <row r="207" spans="1:14" x14ac:dyDescent="0.25">
      <c r="A207" s="39">
        <f t="shared" si="18"/>
        <v>204</v>
      </c>
      <c r="B207" s="18">
        <v>71</v>
      </c>
      <c r="C207" s="33" t="s">
        <v>326</v>
      </c>
      <c r="D207" s="18" t="s">
        <v>329</v>
      </c>
      <c r="E207" s="142">
        <v>149630</v>
      </c>
      <c r="F207" s="18">
        <v>149630</v>
      </c>
      <c r="G207" s="142">
        <v>10</v>
      </c>
      <c r="H207" s="18">
        <v>10</v>
      </c>
      <c r="I207" s="18">
        <v>100</v>
      </c>
      <c r="J207" s="34">
        <v>1.7000000000000001E-2</v>
      </c>
      <c r="K207" s="31">
        <f t="shared" si="17"/>
        <v>149.63</v>
      </c>
      <c r="L207" s="31">
        <f t="shared" si="15"/>
        <v>44.888999999999996</v>
      </c>
      <c r="M207" s="31">
        <f t="shared" si="16"/>
        <v>25.437100000000001</v>
      </c>
      <c r="N207" s="31">
        <f t="shared" si="19"/>
        <v>219.95609999999999</v>
      </c>
    </row>
    <row r="208" spans="1:14" x14ac:dyDescent="0.25">
      <c r="A208" s="39">
        <f t="shared" si="18"/>
        <v>205</v>
      </c>
      <c r="B208" s="18">
        <v>71</v>
      </c>
      <c r="C208" s="33" t="s">
        <v>326</v>
      </c>
      <c r="D208" s="18" t="s">
        <v>330</v>
      </c>
      <c r="E208" s="142">
        <v>170087</v>
      </c>
      <c r="F208" s="18">
        <v>170087</v>
      </c>
      <c r="G208" s="142">
        <v>10</v>
      </c>
      <c r="H208" s="18">
        <v>10</v>
      </c>
      <c r="I208" s="18">
        <v>100</v>
      </c>
      <c r="J208" s="34">
        <v>1.7000000000000001E-2</v>
      </c>
      <c r="K208" s="31">
        <f t="shared" si="17"/>
        <v>170.08699999999999</v>
      </c>
      <c r="L208" s="31">
        <f t="shared" si="15"/>
        <v>51.026099999999992</v>
      </c>
      <c r="M208" s="31">
        <f t="shared" si="16"/>
        <v>28.914790000000004</v>
      </c>
      <c r="N208" s="31">
        <f t="shared" si="19"/>
        <v>250.02788999999999</v>
      </c>
    </row>
    <row r="209" spans="1:14" x14ac:dyDescent="0.25">
      <c r="A209" s="39">
        <f t="shared" si="18"/>
        <v>206</v>
      </c>
      <c r="B209" s="18">
        <v>72</v>
      </c>
      <c r="C209" s="33" t="s">
        <v>331</v>
      </c>
      <c r="D209" s="18" t="s">
        <v>332</v>
      </c>
      <c r="E209" s="142">
        <v>121200</v>
      </c>
      <c r="F209" s="18">
        <v>121200</v>
      </c>
      <c r="G209" s="142">
        <v>10</v>
      </c>
      <c r="H209" s="18">
        <v>10</v>
      </c>
      <c r="I209" s="18">
        <v>100</v>
      </c>
      <c r="J209" s="34">
        <v>1.7000000000000001E-2</v>
      </c>
      <c r="K209" s="31">
        <f t="shared" si="17"/>
        <v>121.2</v>
      </c>
      <c r="L209" s="31">
        <f t="shared" si="15"/>
        <v>36.36</v>
      </c>
      <c r="M209" s="31">
        <f t="shared" si="16"/>
        <v>20.603999999999999</v>
      </c>
      <c r="N209" s="31">
        <f t="shared" si="19"/>
        <v>178.16399999999999</v>
      </c>
    </row>
    <row r="210" spans="1:14" x14ac:dyDescent="0.25">
      <c r="A210" s="39">
        <f t="shared" si="18"/>
        <v>207</v>
      </c>
      <c r="B210" s="18">
        <v>72</v>
      </c>
      <c r="C210" s="33" t="s">
        <v>331</v>
      </c>
      <c r="D210" s="18" t="s">
        <v>333</v>
      </c>
      <c r="E210" s="142">
        <v>135561</v>
      </c>
      <c r="F210" s="18">
        <v>135561</v>
      </c>
      <c r="G210" s="142">
        <v>10</v>
      </c>
      <c r="H210" s="18">
        <v>10</v>
      </c>
      <c r="I210" s="18">
        <v>100</v>
      </c>
      <c r="J210" s="34">
        <v>1.7000000000000001E-2</v>
      </c>
      <c r="K210" s="31">
        <f t="shared" si="17"/>
        <v>135.56100000000001</v>
      </c>
      <c r="L210" s="31">
        <f t="shared" si="15"/>
        <v>40.668299999999995</v>
      </c>
      <c r="M210" s="31">
        <f t="shared" si="16"/>
        <v>23.045370000000002</v>
      </c>
      <c r="N210" s="31">
        <f t="shared" si="19"/>
        <v>199.27466999999999</v>
      </c>
    </row>
    <row r="211" spans="1:14" x14ac:dyDescent="0.25">
      <c r="A211" s="39">
        <f t="shared" si="18"/>
        <v>208</v>
      </c>
      <c r="B211" s="18">
        <v>72</v>
      </c>
      <c r="C211" s="33" t="s">
        <v>331</v>
      </c>
      <c r="D211" s="18" t="s">
        <v>334</v>
      </c>
      <c r="E211" s="142">
        <v>161600</v>
      </c>
      <c r="F211" s="18">
        <v>161600</v>
      </c>
      <c r="G211" s="142">
        <v>10</v>
      </c>
      <c r="H211" s="18">
        <v>10</v>
      </c>
      <c r="I211" s="18">
        <v>100</v>
      </c>
      <c r="J211" s="34">
        <v>1.7000000000000001E-2</v>
      </c>
      <c r="K211" s="31">
        <f t="shared" si="17"/>
        <v>161.6</v>
      </c>
      <c r="L211" s="31">
        <f t="shared" si="15"/>
        <v>48.48</v>
      </c>
      <c r="M211" s="31">
        <f t="shared" si="16"/>
        <v>27.472000000000001</v>
      </c>
      <c r="N211" s="31">
        <f t="shared" si="19"/>
        <v>237.55199999999999</v>
      </c>
    </row>
    <row r="212" spans="1:14" x14ac:dyDescent="0.25">
      <c r="A212" s="39">
        <f t="shared" si="18"/>
        <v>209</v>
      </c>
      <c r="B212" s="18">
        <v>72</v>
      </c>
      <c r="C212" s="33" t="s">
        <v>331</v>
      </c>
      <c r="D212" s="18" t="s">
        <v>335</v>
      </c>
      <c r="E212" s="142">
        <v>183694</v>
      </c>
      <c r="F212" s="18">
        <v>183694</v>
      </c>
      <c r="G212" s="142">
        <v>10</v>
      </c>
      <c r="H212" s="18">
        <v>10</v>
      </c>
      <c r="I212" s="18">
        <v>100</v>
      </c>
      <c r="J212" s="34">
        <v>1.7000000000000001E-2</v>
      </c>
      <c r="K212" s="31">
        <f t="shared" si="17"/>
        <v>183.69399999999999</v>
      </c>
      <c r="L212" s="31">
        <f t="shared" si="15"/>
        <v>55.108199999999997</v>
      </c>
      <c r="M212" s="31">
        <f t="shared" si="16"/>
        <v>31.227980000000002</v>
      </c>
      <c r="N212" s="31">
        <f t="shared" si="19"/>
        <v>270.03017999999997</v>
      </c>
    </row>
    <row r="213" spans="1:14" x14ac:dyDescent="0.25">
      <c r="A213" s="39">
        <f t="shared" si="18"/>
        <v>210</v>
      </c>
      <c r="B213" s="18">
        <v>73</v>
      </c>
      <c r="C213" s="33" t="s">
        <v>336</v>
      </c>
      <c r="D213" s="18" t="s">
        <v>337</v>
      </c>
      <c r="E213" s="142">
        <v>39609</v>
      </c>
      <c r="F213" s="18">
        <v>39609</v>
      </c>
      <c r="G213" s="142">
        <v>10</v>
      </c>
      <c r="H213" s="18">
        <v>10</v>
      </c>
      <c r="I213" s="18">
        <v>100</v>
      </c>
      <c r="J213" s="34">
        <v>1.7000000000000001E-2</v>
      </c>
      <c r="K213" s="31">
        <f t="shared" si="17"/>
        <v>39.609000000000002</v>
      </c>
      <c r="L213" s="31">
        <f t="shared" si="15"/>
        <v>11.882699999999998</v>
      </c>
      <c r="M213" s="31">
        <f t="shared" si="16"/>
        <v>6.7335300000000009</v>
      </c>
      <c r="N213" s="31">
        <f t="shared" si="19"/>
        <v>58.225230000000003</v>
      </c>
    </row>
    <row r="214" spans="1:14" x14ac:dyDescent="0.25">
      <c r="A214" s="39">
        <f t="shared" si="18"/>
        <v>211</v>
      </c>
      <c r="B214" s="18">
        <v>73</v>
      </c>
      <c r="C214" s="33" t="s">
        <v>336</v>
      </c>
      <c r="D214" s="18" t="s">
        <v>338</v>
      </c>
      <c r="E214" s="142">
        <v>57494</v>
      </c>
      <c r="F214" s="18">
        <v>57494</v>
      </c>
      <c r="G214" s="142">
        <v>10</v>
      </c>
      <c r="H214" s="18">
        <v>10</v>
      </c>
      <c r="I214" s="18">
        <v>100</v>
      </c>
      <c r="J214" s="34">
        <v>1.7000000000000001E-2</v>
      </c>
      <c r="K214" s="31">
        <f t="shared" si="17"/>
        <v>57.494</v>
      </c>
      <c r="L214" s="31">
        <f t="shared" si="15"/>
        <v>17.248200000000001</v>
      </c>
      <c r="M214" s="31">
        <f t="shared" si="16"/>
        <v>9.7739799999999999</v>
      </c>
      <c r="N214" s="31">
        <f t="shared" si="19"/>
        <v>84.516179999999991</v>
      </c>
    </row>
    <row r="215" spans="1:14" x14ac:dyDescent="0.25">
      <c r="A215" s="39">
        <f t="shared" si="18"/>
        <v>212</v>
      </c>
      <c r="B215" s="18">
        <v>74</v>
      </c>
      <c r="C215" s="33" t="s">
        <v>339</v>
      </c>
      <c r="D215" s="18" t="s">
        <v>340</v>
      </c>
      <c r="E215" s="142">
        <v>99583</v>
      </c>
      <c r="F215" s="18">
        <v>99583</v>
      </c>
      <c r="G215" s="142">
        <v>10</v>
      </c>
      <c r="H215" s="18">
        <v>10</v>
      </c>
      <c r="I215" s="18">
        <v>100</v>
      </c>
      <c r="J215" s="34">
        <v>0.02</v>
      </c>
      <c r="K215" s="31">
        <f t="shared" si="17"/>
        <v>99.582999999999998</v>
      </c>
      <c r="L215" s="31">
        <f t="shared" si="15"/>
        <v>29.8749</v>
      </c>
      <c r="M215" s="31">
        <f t="shared" si="16"/>
        <v>19.916600000000003</v>
      </c>
      <c r="N215" s="31">
        <f t="shared" si="19"/>
        <v>149.37450000000001</v>
      </c>
    </row>
    <row r="216" spans="1:14" x14ac:dyDescent="0.25">
      <c r="A216" s="39">
        <f t="shared" si="18"/>
        <v>213</v>
      </c>
      <c r="B216" s="18">
        <v>74</v>
      </c>
      <c r="C216" s="33" t="s">
        <v>339</v>
      </c>
      <c r="D216" s="18" t="s">
        <v>341</v>
      </c>
      <c r="E216" s="142">
        <v>108606</v>
      </c>
      <c r="F216" s="18">
        <v>108606</v>
      </c>
      <c r="G216" s="142">
        <v>10</v>
      </c>
      <c r="H216" s="18">
        <v>10</v>
      </c>
      <c r="I216" s="18">
        <v>100</v>
      </c>
      <c r="J216" s="34">
        <v>0.02</v>
      </c>
      <c r="K216" s="31">
        <f t="shared" si="17"/>
        <v>108.60599999999999</v>
      </c>
      <c r="L216" s="31">
        <f t="shared" si="15"/>
        <v>32.581799999999994</v>
      </c>
      <c r="M216" s="31">
        <f t="shared" si="16"/>
        <v>21.7212</v>
      </c>
      <c r="N216" s="31">
        <f t="shared" si="19"/>
        <v>162.90899999999999</v>
      </c>
    </row>
    <row r="217" spans="1:14" x14ac:dyDescent="0.25">
      <c r="A217" s="39">
        <f t="shared" si="18"/>
        <v>214</v>
      </c>
      <c r="B217" s="18">
        <v>74</v>
      </c>
      <c r="C217" s="33" t="s">
        <v>339</v>
      </c>
      <c r="D217" s="18" t="s">
        <v>342</v>
      </c>
      <c r="E217" s="142">
        <v>122159</v>
      </c>
      <c r="F217" s="18">
        <v>122159</v>
      </c>
      <c r="G217" s="142">
        <v>10</v>
      </c>
      <c r="H217" s="18">
        <v>10</v>
      </c>
      <c r="I217" s="18">
        <v>100</v>
      </c>
      <c r="J217" s="34">
        <v>0.02</v>
      </c>
      <c r="K217" s="31">
        <f t="shared" si="17"/>
        <v>122.15900000000001</v>
      </c>
      <c r="L217" s="31">
        <f t="shared" si="15"/>
        <v>36.647699999999993</v>
      </c>
      <c r="M217" s="31">
        <f t="shared" si="16"/>
        <v>24.431799999999999</v>
      </c>
      <c r="N217" s="31">
        <f t="shared" si="19"/>
        <v>183.23850000000002</v>
      </c>
    </row>
    <row r="218" spans="1:14" x14ac:dyDescent="0.25">
      <c r="A218" s="39">
        <f t="shared" si="18"/>
        <v>215</v>
      </c>
      <c r="B218" s="18">
        <v>74</v>
      </c>
      <c r="C218" s="33" t="s">
        <v>339</v>
      </c>
      <c r="D218" s="18" t="s">
        <v>343</v>
      </c>
      <c r="E218" s="142">
        <v>135748</v>
      </c>
      <c r="F218" s="18">
        <v>135748</v>
      </c>
      <c r="G218" s="142">
        <v>10</v>
      </c>
      <c r="H218" s="18">
        <v>10</v>
      </c>
      <c r="I218" s="18">
        <v>100</v>
      </c>
      <c r="J218" s="34">
        <v>0.02</v>
      </c>
      <c r="K218" s="31">
        <f t="shared" si="17"/>
        <v>135.74799999999999</v>
      </c>
      <c r="L218" s="31">
        <f t="shared" si="15"/>
        <v>40.724399999999996</v>
      </c>
      <c r="M218" s="31">
        <f t="shared" si="16"/>
        <v>27.1496</v>
      </c>
      <c r="N218" s="31">
        <f t="shared" si="19"/>
        <v>203.62199999999999</v>
      </c>
    </row>
    <row r="219" spans="1:14" x14ac:dyDescent="0.25">
      <c r="A219" s="39">
        <f t="shared" si="18"/>
        <v>216</v>
      </c>
      <c r="B219" s="18">
        <v>74</v>
      </c>
      <c r="C219" s="33" t="s">
        <v>339</v>
      </c>
      <c r="D219" s="18" t="s">
        <v>344</v>
      </c>
      <c r="E219" s="142">
        <v>149301</v>
      </c>
      <c r="F219" s="18">
        <v>149301</v>
      </c>
      <c r="G219" s="142">
        <v>10</v>
      </c>
      <c r="H219" s="18">
        <v>10</v>
      </c>
      <c r="I219" s="18">
        <v>100</v>
      </c>
      <c r="J219" s="34">
        <v>0.02</v>
      </c>
      <c r="K219" s="31">
        <f t="shared" si="17"/>
        <v>149.30099999999999</v>
      </c>
      <c r="L219" s="31">
        <f t="shared" si="15"/>
        <v>44.790299999999995</v>
      </c>
      <c r="M219" s="31">
        <f t="shared" si="16"/>
        <v>29.860199999999999</v>
      </c>
      <c r="N219" s="31">
        <f t="shared" si="19"/>
        <v>223.95149999999998</v>
      </c>
    </row>
    <row r="220" spans="1:14" x14ac:dyDescent="0.25">
      <c r="A220" s="39">
        <f t="shared" si="18"/>
        <v>217</v>
      </c>
      <c r="B220" s="18">
        <v>74</v>
      </c>
      <c r="C220" s="33" t="s">
        <v>339</v>
      </c>
      <c r="D220" s="18" t="s">
        <v>345</v>
      </c>
      <c r="E220" s="142">
        <v>162854</v>
      </c>
      <c r="F220" s="18">
        <v>162854</v>
      </c>
      <c r="G220" s="142">
        <v>10</v>
      </c>
      <c r="H220" s="18">
        <v>10</v>
      </c>
      <c r="I220" s="18">
        <v>100</v>
      </c>
      <c r="J220" s="34">
        <v>0.02</v>
      </c>
      <c r="K220" s="31">
        <f t="shared" si="17"/>
        <v>162.85400000000001</v>
      </c>
      <c r="L220" s="31">
        <f t="shared" si="15"/>
        <v>48.856199999999994</v>
      </c>
      <c r="M220" s="31">
        <f t="shared" si="16"/>
        <v>32.570799999999998</v>
      </c>
      <c r="N220" s="31">
        <f t="shared" si="19"/>
        <v>244.28100000000001</v>
      </c>
    </row>
    <row r="221" spans="1:14" x14ac:dyDescent="0.25">
      <c r="A221" s="39">
        <f t="shared" si="18"/>
        <v>218</v>
      </c>
      <c r="B221" s="18">
        <v>75</v>
      </c>
      <c r="C221" s="33" t="s">
        <v>346</v>
      </c>
      <c r="D221" s="18" t="s">
        <v>347</v>
      </c>
      <c r="E221" s="142">
        <v>119499</v>
      </c>
      <c r="F221" s="18">
        <v>119499</v>
      </c>
      <c r="G221" s="142">
        <v>10</v>
      </c>
      <c r="H221" s="18">
        <v>10</v>
      </c>
      <c r="I221" s="18">
        <v>100</v>
      </c>
      <c r="J221" s="34">
        <v>0.02</v>
      </c>
      <c r="K221" s="31">
        <f t="shared" si="17"/>
        <v>119.499</v>
      </c>
      <c r="L221" s="31">
        <f t="shared" si="15"/>
        <v>35.849699999999999</v>
      </c>
      <c r="M221" s="31">
        <f t="shared" si="16"/>
        <v>23.899799999999999</v>
      </c>
      <c r="N221" s="31">
        <f t="shared" si="19"/>
        <v>179.24850000000001</v>
      </c>
    </row>
    <row r="222" spans="1:14" x14ac:dyDescent="0.25">
      <c r="A222" s="39">
        <f t="shared" si="18"/>
        <v>219</v>
      </c>
      <c r="B222" s="18">
        <v>75</v>
      </c>
      <c r="C222" s="33" t="s">
        <v>346</v>
      </c>
      <c r="D222" s="18" t="s">
        <v>348</v>
      </c>
      <c r="E222" s="142">
        <v>130327</v>
      </c>
      <c r="F222" s="18">
        <v>130327</v>
      </c>
      <c r="G222" s="142">
        <v>10</v>
      </c>
      <c r="H222" s="18">
        <v>10</v>
      </c>
      <c r="I222" s="18">
        <v>100</v>
      </c>
      <c r="J222" s="34">
        <v>0.02</v>
      </c>
      <c r="K222" s="31">
        <f t="shared" si="17"/>
        <v>130.327</v>
      </c>
      <c r="L222" s="31">
        <f t="shared" si="15"/>
        <v>39.098099999999995</v>
      </c>
      <c r="M222" s="31">
        <f t="shared" si="16"/>
        <v>26.0654</v>
      </c>
      <c r="N222" s="31">
        <f t="shared" si="19"/>
        <v>195.4905</v>
      </c>
    </row>
    <row r="223" spans="1:14" x14ac:dyDescent="0.25">
      <c r="A223" s="39">
        <f t="shared" si="18"/>
        <v>220</v>
      </c>
      <c r="B223" s="18">
        <v>75</v>
      </c>
      <c r="C223" s="33" t="s">
        <v>346</v>
      </c>
      <c r="D223" s="18" t="s">
        <v>349</v>
      </c>
      <c r="E223" s="142">
        <v>146590</v>
      </c>
      <c r="F223" s="18">
        <v>146590</v>
      </c>
      <c r="G223" s="142">
        <v>10</v>
      </c>
      <c r="H223" s="18">
        <v>10</v>
      </c>
      <c r="I223" s="18">
        <v>100</v>
      </c>
      <c r="J223" s="34">
        <v>0.02</v>
      </c>
      <c r="K223" s="31">
        <f t="shared" si="17"/>
        <v>146.59</v>
      </c>
      <c r="L223" s="31">
        <f t="shared" si="15"/>
        <v>43.977000000000004</v>
      </c>
      <c r="M223" s="31">
        <f t="shared" si="16"/>
        <v>29.318000000000001</v>
      </c>
      <c r="N223" s="31">
        <f t="shared" si="19"/>
        <v>219.88500000000002</v>
      </c>
    </row>
    <row r="224" spans="1:14" x14ac:dyDescent="0.25">
      <c r="A224" s="39">
        <f t="shared" si="18"/>
        <v>221</v>
      </c>
      <c r="B224" s="18">
        <v>75</v>
      </c>
      <c r="C224" s="33" t="s">
        <v>346</v>
      </c>
      <c r="D224" s="18" t="s">
        <v>350</v>
      </c>
      <c r="E224" s="142">
        <v>162898</v>
      </c>
      <c r="F224" s="18">
        <v>162898</v>
      </c>
      <c r="G224" s="142">
        <v>10</v>
      </c>
      <c r="H224" s="18">
        <v>10</v>
      </c>
      <c r="I224" s="18">
        <v>100</v>
      </c>
      <c r="J224" s="34">
        <v>0.02</v>
      </c>
      <c r="K224" s="31">
        <f t="shared" si="17"/>
        <v>162.898</v>
      </c>
      <c r="L224" s="31">
        <f t="shared" si="15"/>
        <v>48.869399999999999</v>
      </c>
      <c r="M224" s="31">
        <f t="shared" si="16"/>
        <v>32.579599999999999</v>
      </c>
      <c r="N224" s="31">
        <f t="shared" si="19"/>
        <v>244.34700000000001</v>
      </c>
    </row>
    <row r="225" spans="1:14" x14ac:dyDescent="0.25">
      <c r="A225" s="39">
        <f t="shared" si="18"/>
        <v>222</v>
      </c>
      <c r="B225" s="18">
        <v>75</v>
      </c>
      <c r="C225" s="33" t="s">
        <v>346</v>
      </c>
      <c r="D225" s="18" t="s">
        <v>351</v>
      </c>
      <c r="E225" s="142">
        <v>179161</v>
      </c>
      <c r="F225" s="18">
        <v>179161</v>
      </c>
      <c r="G225" s="142">
        <v>10</v>
      </c>
      <c r="H225" s="18">
        <v>10</v>
      </c>
      <c r="I225" s="18">
        <v>100</v>
      </c>
      <c r="J225" s="34">
        <v>0.02</v>
      </c>
      <c r="K225" s="31">
        <f t="shared" si="17"/>
        <v>179.161</v>
      </c>
      <c r="L225" s="31">
        <f t="shared" si="15"/>
        <v>53.748299999999993</v>
      </c>
      <c r="M225" s="31">
        <f t="shared" si="16"/>
        <v>35.8322</v>
      </c>
      <c r="N225" s="31">
        <f t="shared" si="19"/>
        <v>268.74149999999997</v>
      </c>
    </row>
    <row r="226" spans="1:14" x14ac:dyDescent="0.25">
      <c r="A226" s="39">
        <f t="shared" si="18"/>
        <v>223</v>
      </c>
      <c r="B226" s="18">
        <v>75</v>
      </c>
      <c r="C226" s="33" t="s">
        <v>346</v>
      </c>
      <c r="D226" s="18" t="s">
        <v>352</v>
      </c>
      <c r="E226" s="142">
        <v>195425</v>
      </c>
      <c r="F226" s="18">
        <v>195425</v>
      </c>
      <c r="G226" s="142">
        <v>10</v>
      </c>
      <c r="H226" s="18">
        <v>10</v>
      </c>
      <c r="I226" s="18">
        <v>100</v>
      </c>
      <c r="J226" s="34">
        <v>0.02</v>
      </c>
      <c r="K226" s="31">
        <f t="shared" si="17"/>
        <v>195.42500000000001</v>
      </c>
      <c r="L226" s="31">
        <f t="shared" si="15"/>
        <v>58.627499999999998</v>
      </c>
      <c r="M226" s="31">
        <f t="shared" si="16"/>
        <v>39.085000000000001</v>
      </c>
      <c r="N226" s="31">
        <f t="shared" si="19"/>
        <v>293.13749999999999</v>
      </c>
    </row>
    <row r="227" spans="1:14" x14ac:dyDescent="0.25">
      <c r="A227" s="39">
        <f t="shared" si="18"/>
        <v>224</v>
      </c>
      <c r="B227" s="18">
        <v>76</v>
      </c>
      <c r="C227" s="33" t="s">
        <v>353</v>
      </c>
      <c r="D227" s="18" t="s">
        <v>354</v>
      </c>
      <c r="E227" s="142">
        <v>114520</v>
      </c>
      <c r="F227" s="18">
        <v>114520</v>
      </c>
      <c r="G227" s="142">
        <v>10</v>
      </c>
      <c r="H227" s="18">
        <v>10</v>
      </c>
      <c r="I227" s="18">
        <v>100</v>
      </c>
      <c r="J227" s="34">
        <v>0.02</v>
      </c>
      <c r="K227" s="31">
        <f t="shared" si="17"/>
        <v>114.52</v>
      </c>
      <c r="L227" s="31">
        <f t="shared" si="15"/>
        <v>34.356000000000002</v>
      </c>
      <c r="M227" s="31">
        <f t="shared" si="16"/>
        <v>22.904</v>
      </c>
      <c r="N227" s="31">
        <f t="shared" si="19"/>
        <v>171.78</v>
      </c>
    </row>
    <row r="228" spans="1:14" x14ac:dyDescent="0.25">
      <c r="A228" s="39">
        <f t="shared" si="18"/>
        <v>225</v>
      </c>
      <c r="B228" s="18">
        <v>76</v>
      </c>
      <c r="C228" s="33" t="s">
        <v>353</v>
      </c>
      <c r="D228" s="18" t="s">
        <v>355</v>
      </c>
      <c r="E228" s="142">
        <v>124897</v>
      </c>
      <c r="F228" s="18">
        <v>124897</v>
      </c>
      <c r="G228" s="142">
        <v>10</v>
      </c>
      <c r="H228" s="18">
        <v>10</v>
      </c>
      <c r="I228" s="18">
        <v>100</v>
      </c>
      <c r="J228" s="34">
        <v>0.02</v>
      </c>
      <c r="K228" s="31">
        <f t="shared" si="17"/>
        <v>124.89700000000001</v>
      </c>
      <c r="L228" s="31">
        <f t="shared" si="15"/>
        <v>37.469099999999997</v>
      </c>
      <c r="M228" s="31">
        <f t="shared" si="16"/>
        <v>24.979400000000002</v>
      </c>
      <c r="N228" s="31">
        <f t="shared" si="19"/>
        <v>187.34550000000002</v>
      </c>
    </row>
    <row r="229" spans="1:14" x14ac:dyDescent="0.25">
      <c r="A229" s="39">
        <f t="shared" si="18"/>
        <v>226</v>
      </c>
      <c r="B229" s="18">
        <v>76</v>
      </c>
      <c r="C229" s="33" t="s">
        <v>353</v>
      </c>
      <c r="D229" s="18" t="s">
        <v>356</v>
      </c>
      <c r="E229" s="142">
        <v>140482</v>
      </c>
      <c r="F229" s="18">
        <v>140482</v>
      </c>
      <c r="G229" s="142">
        <v>10</v>
      </c>
      <c r="H229" s="18">
        <v>10</v>
      </c>
      <c r="I229" s="18">
        <v>100</v>
      </c>
      <c r="J229" s="34">
        <v>0.02</v>
      </c>
      <c r="K229" s="31">
        <f t="shared" si="17"/>
        <v>140.482</v>
      </c>
      <c r="L229" s="31">
        <f t="shared" si="15"/>
        <v>42.144599999999997</v>
      </c>
      <c r="M229" s="31">
        <f t="shared" si="16"/>
        <v>28.096399999999999</v>
      </c>
      <c r="N229" s="31">
        <f t="shared" si="19"/>
        <v>210.72299999999998</v>
      </c>
    </row>
    <row r="230" spans="1:14" x14ac:dyDescent="0.25">
      <c r="A230" s="39">
        <f t="shared" si="18"/>
        <v>227</v>
      </c>
      <c r="B230" s="18">
        <v>76</v>
      </c>
      <c r="C230" s="33" t="s">
        <v>353</v>
      </c>
      <c r="D230" s="18" t="s">
        <v>357</v>
      </c>
      <c r="E230" s="142">
        <v>156110</v>
      </c>
      <c r="F230" s="18">
        <v>156110</v>
      </c>
      <c r="G230" s="142">
        <v>10</v>
      </c>
      <c r="H230" s="18">
        <v>10</v>
      </c>
      <c r="I230" s="18">
        <v>100</v>
      </c>
      <c r="J230" s="34">
        <v>0.02</v>
      </c>
      <c r="K230" s="31">
        <f t="shared" si="17"/>
        <v>156.11000000000001</v>
      </c>
      <c r="L230" s="31">
        <f t="shared" si="15"/>
        <v>46.832999999999998</v>
      </c>
      <c r="M230" s="31">
        <f t="shared" si="16"/>
        <v>31.222000000000001</v>
      </c>
      <c r="N230" s="31">
        <f t="shared" si="19"/>
        <v>234.16500000000002</v>
      </c>
    </row>
    <row r="231" spans="1:14" x14ac:dyDescent="0.25">
      <c r="A231" s="39">
        <f t="shared" si="18"/>
        <v>228</v>
      </c>
      <c r="B231" s="18">
        <v>76</v>
      </c>
      <c r="C231" s="33" t="s">
        <v>353</v>
      </c>
      <c r="D231" s="18" t="s">
        <v>358</v>
      </c>
      <c r="E231" s="142">
        <v>171696</v>
      </c>
      <c r="F231" s="18">
        <v>171696</v>
      </c>
      <c r="G231" s="142">
        <v>10</v>
      </c>
      <c r="H231" s="18">
        <v>10</v>
      </c>
      <c r="I231" s="18">
        <v>100</v>
      </c>
      <c r="J231" s="34">
        <v>0.02</v>
      </c>
      <c r="K231" s="31">
        <f t="shared" si="17"/>
        <v>171.696</v>
      </c>
      <c r="L231" s="31">
        <f t="shared" si="15"/>
        <v>51.508800000000001</v>
      </c>
      <c r="M231" s="31">
        <f t="shared" si="16"/>
        <v>34.339199999999998</v>
      </c>
      <c r="N231" s="31">
        <f t="shared" si="19"/>
        <v>257.54399999999998</v>
      </c>
    </row>
    <row r="232" spans="1:14" x14ac:dyDescent="0.25">
      <c r="A232" s="39">
        <f t="shared" si="18"/>
        <v>229</v>
      </c>
      <c r="B232" s="18">
        <v>76</v>
      </c>
      <c r="C232" s="33" t="s">
        <v>353</v>
      </c>
      <c r="D232" s="18" t="s">
        <v>359</v>
      </c>
      <c r="E232" s="142">
        <v>187282</v>
      </c>
      <c r="F232" s="18">
        <v>187282</v>
      </c>
      <c r="G232" s="142">
        <v>10</v>
      </c>
      <c r="H232" s="18">
        <v>10</v>
      </c>
      <c r="I232" s="18">
        <v>100</v>
      </c>
      <c r="J232" s="34">
        <v>0.02</v>
      </c>
      <c r="K232" s="31">
        <f t="shared" si="17"/>
        <v>187.28200000000001</v>
      </c>
      <c r="L232" s="31">
        <f t="shared" si="15"/>
        <v>56.184599999999996</v>
      </c>
      <c r="M232" s="31">
        <f t="shared" si="16"/>
        <v>37.456400000000002</v>
      </c>
      <c r="N232" s="31">
        <f t="shared" si="19"/>
        <v>280.923</v>
      </c>
    </row>
    <row r="233" spans="1:14" x14ac:dyDescent="0.25">
      <c r="A233" s="39">
        <f t="shared" si="18"/>
        <v>230</v>
      </c>
      <c r="B233" s="18">
        <v>77</v>
      </c>
      <c r="C233" s="33" t="s">
        <v>360</v>
      </c>
      <c r="D233" s="18" t="s">
        <v>361</v>
      </c>
      <c r="E233" s="142">
        <v>111952</v>
      </c>
      <c r="F233" s="18">
        <v>111952</v>
      </c>
      <c r="G233" s="142">
        <v>10</v>
      </c>
      <c r="H233" s="18">
        <v>10</v>
      </c>
      <c r="I233" s="18">
        <v>100</v>
      </c>
      <c r="J233" s="34">
        <v>0.02</v>
      </c>
      <c r="K233" s="31">
        <f t="shared" si="17"/>
        <v>111.952</v>
      </c>
      <c r="L233" s="31">
        <f t="shared" si="15"/>
        <v>33.585599999999999</v>
      </c>
      <c r="M233" s="31">
        <f t="shared" si="16"/>
        <v>22.3904</v>
      </c>
      <c r="N233" s="31">
        <f t="shared" si="19"/>
        <v>167.928</v>
      </c>
    </row>
    <row r="234" spans="1:14" x14ac:dyDescent="0.25">
      <c r="A234" s="39">
        <f t="shared" si="18"/>
        <v>231</v>
      </c>
      <c r="B234" s="18">
        <v>77</v>
      </c>
      <c r="C234" s="33" t="s">
        <v>360</v>
      </c>
      <c r="D234" s="18" t="s">
        <v>362</v>
      </c>
      <c r="E234" s="142">
        <v>137396</v>
      </c>
      <c r="F234" s="18">
        <v>137396</v>
      </c>
      <c r="G234" s="142">
        <v>10</v>
      </c>
      <c r="H234" s="18">
        <v>10</v>
      </c>
      <c r="I234" s="18">
        <v>100</v>
      </c>
      <c r="J234" s="34">
        <v>0.02</v>
      </c>
      <c r="K234" s="31">
        <f t="shared" si="17"/>
        <v>137.39599999999999</v>
      </c>
      <c r="L234" s="31">
        <f t="shared" si="15"/>
        <v>41.218800000000002</v>
      </c>
      <c r="M234" s="31">
        <f t="shared" si="16"/>
        <v>27.479200000000002</v>
      </c>
      <c r="N234" s="31">
        <f t="shared" si="19"/>
        <v>206.09399999999999</v>
      </c>
    </row>
    <row r="235" spans="1:14" x14ac:dyDescent="0.25">
      <c r="A235" s="39">
        <f t="shared" si="18"/>
        <v>232</v>
      </c>
      <c r="B235" s="18">
        <v>78</v>
      </c>
      <c r="C235" s="33" t="s">
        <v>363</v>
      </c>
      <c r="D235" s="18" t="s">
        <v>364</v>
      </c>
      <c r="E235" s="142">
        <v>93519</v>
      </c>
      <c r="F235" s="18">
        <v>93519</v>
      </c>
      <c r="G235" s="142">
        <v>10</v>
      </c>
      <c r="H235" s="18">
        <v>10</v>
      </c>
      <c r="I235" s="18">
        <v>100</v>
      </c>
      <c r="J235" s="34">
        <v>0.02</v>
      </c>
      <c r="K235" s="31">
        <f t="shared" si="17"/>
        <v>93.519000000000005</v>
      </c>
      <c r="L235" s="31">
        <f t="shared" si="15"/>
        <v>28.055700000000002</v>
      </c>
      <c r="M235" s="31">
        <f t="shared" si="16"/>
        <v>18.703800000000001</v>
      </c>
      <c r="N235" s="31">
        <f t="shared" si="19"/>
        <v>140.27850000000001</v>
      </c>
    </row>
    <row r="236" spans="1:14" x14ac:dyDescent="0.25">
      <c r="B236" s="18"/>
      <c r="C236" s="33"/>
      <c r="D236" s="18"/>
      <c r="E236" s="142"/>
      <c r="F236" s="18"/>
      <c r="G236" s="18"/>
      <c r="H236" s="18"/>
      <c r="I236" s="18"/>
      <c r="J236" s="34"/>
      <c r="K236" s="31"/>
      <c r="L236" s="31"/>
      <c r="M236" s="31"/>
      <c r="N236" s="31"/>
    </row>
    <row r="237" spans="1:14" x14ac:dyDescent="0.25">
      <c r="B237" s="18"/>
      <c r="C237" s="33"/>
      <c r="D237" s="18"/>
      <c r="E237" s="18"/>
      <c r="F237" s="18"/>
      <c r="G237" s="18"/>
      <c r="I237" s="18"/>
      <c r="J237" s="34"/>
      <c r="K237" s="31"/>
      <c r="L237" s="31"/>
      <c r="M237" s="31"/>
      <c r="N237" s="31"/>
    </row>
    <row r="238" spans="1:14" x14ac:dyDescent="0.25">
      <c r="B238" s="18"/>
      <c r="C238" s="37" t="s">
        <v>365</v>
      </c>
      <c r="D238" s="18"/>
      <c r="G238" s="18"/>
      <c r="I238" s="18"/>
      <c r="J238" s="34"/>
      <c r="K238" s="31"/>
      <c r="L238" s="31"/>
      <c r="M238" s="31"/>
      <c r="N238" s="31"/>
    </row>
  </sheetData>
  <mergeCells count="3">
    <mergeCell ref="C1:C3"/>
    <mergeCell ref="A1:A3"/>
    <mergeCell ref="B1:B3"/>
  </mergeCells>
  <printOptions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Dados</vt:lpstr>
      <vt:lpstr>Rt_Cto_Eq</vt:lpstr>
      <vt:lpstr>Cto_Trat</vt:lpstr>
      <vt:lpstr>Cto_OpCt</vt:lpstr>
      <vt:lpstr>Cal_Cult</vt:lpstr>
      <vt:lpstr>Cto_MO_Mq</vt:lpstr>
      <vt:lpstr>Cto_Out_RE</vt:lpstr>
      <vt:lpstr>IHERA_Trat</vt:lpstr>
      <vt:lpstr>IHER_Equip</vt:lpstr>
      <vt:lpstr>Vel_Ec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UTAD</dc:creator>
  <cp:keywords/>
  <dc:description>Custo da unidade forrageira da silagem de milho</dc:description>
  <cp:lastModifiedBy>Fernando Santos</cp:lastModifiedBy>
  <cp:lastPrinted>2019-06-26T10:02:37Z</cp:lastPrinted>
  <dcterms:created xsi:type="dcterms:W3CDTF">2017-02-24T15:53:39Z</dcterms:created>
  <dcterms:modified xsi:type="dcterms:W3CDTF">2024-03-10T16:45:16Z</dcterms:modified>
</cp:coreProperties>
</file>